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T\Desktop\ｿｰｼｬﾙｺｽﾄ最終見直（版）\"/>
    </mc:Choice>
  </mc:AlternateContent>
  <bookViews>
    <workbookView xWindow="0" yWindow="0" windowWidth="15120" windowHeight="10875" tabRatio="846"/>
  </bookViews>
  <sheets>
    <sheet name="ｼｰﾄNO.1(表-2）57頁" sheetId="42" r:id="rId1"/>
    <sheet name="ｼｰﾄNO.2（図-7）58頁" sheetId="44" r:id="rId2"/>
    <sheet name="ｼｰﾄNO.3（表-3）59頁" sheetId="1" r:id="rId3"/>
    <sheet name="ｼｰﾄNO.4（表-4）60頁" sheetId="2" r:id="rId4"/>
    <sheet name="ｼｰﾄNO.5（表-5）3.3.2 61頁" sheetId="4" r:id="rId5"/>
    <sheet name="ｼｰﾄNO.6（表6-1）3.3.3-1　63頁" sheetId="9" r:id="rId6"/>
    <sheet name="ｼｰﾄNO.7（表6-2）3.3.3-2　64頁" sheetId="6" r:id="rId7"/>
    <sheet name="ｼｰﾄNO.8（表6-3）3.3.3-3　65頁" sheetId="8" r:id="rId8"/>
    <sheet name="ｼｰﾄNO.9（表6-4）3.3.3-4　66頁" sheetId="5" r:id="rId9"/>
    <sheet name="ｼｰﾄNO.10（表-7）3.3.4　67頁" sheetId="71" r:id="rId10"/>
    <sheet name="ｼｰﾄNO.11（表-8）3.3.5 　68頁" sheetId="72" r:id="rId11"/>
    <sheet name="ｼｰﾄNO.12（表-9）3.4.1　69頁" sheetId="45" r:id="rId12"/>
    <sheet name="ｼｰﾄNO.13（表-10）3.4.2　70頁" sheetId="46" r:id="rId13"/>
    <sheet name="ｼｰﾄNO.14（表11-1）3.5.1-1　71頁" sheetId="47" r:id="rId14"/>
    <sheet name="ｼｰﾄNO.15（表11-2）3.5.1-2　72頁" sheetId="54" r:id="rId15"/>
    <sheet name="ｼｰﾄNO.16（表11-3）3.5.1-3　73頁" sheetId="64" r:id="rId16"/>
    <sheet name="ｼｰﾄNO.17（表12-1）3.5.2-1　74頁" sheetId="48" r:id="rId17"/>
    <sheet name="ｼｰﾄNO.18（表12-2）3.5.2-2　75頁" sheetId="55" r:id="rId18"/>
    <sheet name="ｼｰﾄNO.19（表12-3）3.5.2-3　76頁" sheetId="65" r:id="rId19"/>
    <sheet name="ｼｰﾄNO.20（表13-1）3.5.3-1　77頁" sheetId="77" r:id="rId20"/>
    <sheet name="ｼｰﾄNO.21（表13-2）3.5.3-2　78頁" sheetId="78" r:id="rId21"/>
    <sheet name="ｼｰﾄNO.22（表13-3）3.5.3-3　79頁" sheetId="79" r:id="rId22"/>
    <sheet name="ｼｰﾄNO.23（表13-4）3.5.3-4　80頁" sheetId="76" r:id="rId23"/>
    <sheet name="ｼｰﾄNO.24（表14-1）3.5.4-1　81頁" sheetId="53" r:id="rId24"/>
    <sheet name="ｼｰﾄNO.25（表14-2）3.5.4-2　82頁" sheetId="63" r:id="rId25"/>
    <sheet name="ｼｰﾄNO.26（表14-3）3.5.4-3　83頁" sheetId="62" r:id="rId26"/>
    <sheet name="ｼｰﾄNO.27（表15-1）3.5.5-1　84頁" sheetId="50" r:id="rId27"/>
    <sheet name="ｼｰﾄNO.28（表15-2）3.5.5-2　85頁" sheetId="51" r:id="rId28"/>
    <sheet name="ｼｰﾄNO.29（表15-3）3.5.5-3　86頁" sheetId="52" r:id="rId29"/>
    <sheet name="ｼｰﾄNO.30（表16-1）3.5.6-1　87頁" sheetId="58" r:id="rId30"/>
    <sheet name="ｼｰﾄNO.31（表16-2）3.5.6-2　88頁" sheetId="68" r:id="rId31"/>
    <sheet name="ｼｰﾄNO.32（表-17）3.6.1　89頁" sheetId="70" r:id="rId32"/>
  </sheets>
  <definedNames>
    <definedName name="_xlnm.Print_Area" localSheetId="0">'ｼｰﾄNO.1(表-2）57頁'!$A$1:$H$31</definedName>
    <definedName name="_xlnm.Print_Area" localSheetId="13">'ｼｰﾄNO.14（表11-1）3.5.1-1　71頁'!$A$1:$J$23</definedName>
    <definedName name="_xlnm.Print_Area" localSheetId="17">'ｼｰﾄNO.18（表12-2）3.5.2-2　75頁'!$A$1:$I$22</definedName>
    <definedName name="_xlnm.Print_Area" localSheetId="20">'ｼｰﾄNO.21（表13-2）3.5.3-2　78頁'!$A$1:$W$78</definedName>
    <definedName name="_xlnm.Print_Area" localSheetId="22">'ｼｰﾄNO.23（表13-4）3.5.3-4　80頁'!$A$1:$W$126</definedName>
    <definedName name="_xlnm.Print_Area" localSheetId="23">'ｼｰﾄNO.24（表14-1）3.5.4-1　81頁'!$A$1:$M$46</definedName>
    <definedName name="_xlnm.Print_Area" localSheetId="24">'ｼｰﾄNO.25（表14-2）3.5.4-2　82頁'!$A$1:$L$43</definedName>
    <definedName name="_xlnm.Print_Area" localSheetId="25">'ｼｰﾄNO.26（表14-3）3.5.4-3　83頁'!$A$1:$L$43</definedName>
    <definedName name="_xlnm.Print_Area" localSheetId="30">'ｼｰﾄNO.31（表16-2）3.5.6-2　88頁'!$A$1:$H$23</definedName>
    <definedName name="_xlnm.Print_Area" localSheetId="3">'ｼｰﾄNO.4（表-4）60頁'!$A$1:$W$83</definedName>
    <definedName name="_xlnm.Print_Area" localSheetId="4">'ｼｰﾄNO.5（表-5）3.3.2 61頁'!$A$1:$W$127</definedName>
    <definedName name="_xlnm.Print_Area" localSheetId="5">'ｼｰﾄNO.6（表6-1）3.3.3-1　63頁'!$A$1:$Z$82</definedName>
    <definedName name="_xlnm.Print_Area" localSheetId="6">'ｼｰﾄNO.7（表6-2）3.3.3-2　64頁'!$A$1:$Z$78</definedName>
    <definedName name="_xlnm.Print_Area" localSheetId="7">'ｼｰﾄNO.8（表6-3）3.3.3-3　65頁'!$A$1:$Z$126</definedName>
    <definedName name="_xlnm.Print_Area" localSheetId="8">'ｼｰﾄNO.9（表6-4）3.3.3-4　66頁'!$A$1:$Z$126</definedName>
  </definedNames>
  <calcPr calcId="152511"/>
</workbook>
</file>

<file path=xl/calcChain.xml><?xml version="1.0" encoding="utf-8"?>
<calcChain xmlns="http://schemas.openxmlformats.org/spreadsheetml/2006/main">
  <c r="F7" i="4" l="1"/>
  <c r="U7" i="78"/>
  <c r="U55" i="78"/>
  <c r="E13" i="62" l="1"/>
  <c r="E9" i="62"/>
  <c r="G12" i="65" l="1"/>
  <c r="G8" i="65"/>
  <c r="G12" i="55"/>
  <c r="G8" i="55"/>
  <c r="G12" i="64"/>
  <c r="G8" i="64"/>
  <c r="G8" i="54"/>
  <c r="G12" i="54"/>
  <c r="P103" i="4" l="1"/>
  <c r="P79" i="4"/>
  <c r="P55" i="4"/>
  <c r="P31" i="4"/>
  <c r="P7" i="4"/>
  <c r="D55" i="4"/>
  <c r="D31" i="4"/>
  <c r="D7" i="4"/>
  <c r="X55" i="9"/>
  <c r="X31" i="9"/>
  <c r="X7" i="9"/>
  <c r="X103" i="5"/>
  <c r="X79" i="5"/>
  <c r="X55" i="5"/>
  <c r="X31" i="5"/>
  <c r="X7" i="5"/>
  <c r="X55" i="6"/>
  <c r="X31" i="6"/>
  <c r="X7" i="6"/>
  <c r="X103" i="8"/>
  <c r="X79" i="8"/>
  <c r="X55" i="8"/>
  <c r="X31" i="8"/>
  <c r="X7" i="8"/>
  <c r="D8" i="63"/>
  <c r="U7" i="79"/>
  <c r="U55" i="79"/>
  <c r="U7" i="77"/>
  <c r="U55" i="77"/>
  <c r="C8" i="53" l="1"/>
  <c r="R57" i="4" l="1"/>
  <c r="R59" i="4"/>
  <c r="R61" i="4"/>
  <c r="R63" i="4"/>
  <c r="R65" i="4"/>
  <c r="R67" i="4"/>
  <c r="R69" i="4"/>
  <c r="R71" i="4"/>
  <c r="R73" i="4"/>
  <c r="R75" i="4"/>
  <c r="R77" i="4"/>
  <c r="R55" i="4"/>
  <c r="R9" i="4"/>
  <c r="R11" i="4"/>
  <c r="R13" i="4"/>
  <c r="R15" i="4"/>
  <c r="R17" i="4"/>
  <c r="R19" i="4"/>
  <c r="R21" i="4"/>
  <c r="R23" i="4"/>
  <c r="R25" i="4"/>
  <c r="R27" i="4"/>
  <c r="R29" i="4"/>
  <c r="R7" i="4"/>
  <c r="F57" i="4"/>
  <c r="F59" i="4"/>
  <c r="F61" i="4"/>
  <c r="F63" i="4"/>
  <c r="F65" i="4"/>
  <c r="F67" i="4"/>
  <c r="F69" i="4"/>
  <c r="F71" i="4"/>
  <c r="F73" i="4"/>
  <c r="F75" i="4"/>
  <c r="F77" i="4"/>
  <c r="F55" i="4"/>
  <c r="F11" i="4"/>
  <c r="F13" i="4"/>
  <c r="F15" i="4"/>
  <c r="F17" i="4"/>
  <c r="F19" i="4"/>
  <c r="F21" i="4"/>
  <c r="F23" i="4"/>
  <c r="F25" i="4"/>
  <c r="F27" i="4"/>
  <c r="F29" i="4"/>
  <c r="F9" i="4"/>
  <c r="C125" i="76" l="1"/>
  <c r="C123" i="76"/>
  <c r="C121" i="76"/>
  <c r="C119" i="76"/>
  <c r="C117" i="76"/>
  <c r="C115" i="76"/>
  <c r="C113" i="76"/>
  <c r="C111" i="76"/>
  <c r="C109" i="76"/>
  <c r="C107" i="76"/>
  <c r="C105" i="76"/>
  <c r="U103" i="76"/>
  <c r="C103" i="76"/>
  <c r="C101" i="76"/>
  <c r="C99" i="76"/>
  <c r="C97" i="76"/>
  <c r="C95" i="76"/>
  <c r="C93" i="76"/>
  <c r="C91" i="76"/>
  <c r="C89" i="76"/>
  <c r="C87" i="76"/>
  <c r="C85" i="76"/>
  <c r="C83" i="76"/>
  <c r="C81" i="76"/>
  <c r="U79" i="76"/>
  <c r="C79" i="76"/>
  <c r="C29" i="76"/>
  <c r="C27" i="76"/>
  <c r="C25" i="76"/>
  <c r="C23" i="76"/>
  <c r="C21" i="76"/>
  <c r="C19" i="76"/>
  <c r="C17" i="76"/>
  <c r="C15" i="76"/>
  <c r="C13" i="76"/>
  <c r="C11" i="76"/>
  <c r="C9" i="76"/>
  <c r="U7" i="76"/>
  <c r="C7" i="76"/>
  <c r="C53" i="76"/>
  <c r="C51" i="76"/>
  <c r="C49" i="76"/>
  <c r="C47" i="76"/>
  <c r="C45" i="76"/>
  <c r="C43" i="76"/>
  <c r="C41" i="76"/>
  <c r="C39" i="76"/>
  <c r="C37" i="76"/>
  <c r="C35" i="76"/>
  <c r="C33" i="76"/>
  <c r="U31" i="76"/>
  <c r="C31" i="76"/>
  <c r="C77" i="76"/>
  <c r="C75" i="76"/>
  <c r="C73" i="76"/>
  <c r="C71" i="76"/>
  <c r="C69" i="76"/>
  <c r="C67" i="76"/>
  <c r="C65" i="76"/>
  <c r="C63" i="76"/>
  <c r="C61" i="76"/>
  <c r="C59" i="76"/>
  <c r="C57" i="76"/>
  <c r="U55" i="76"/>
  <c r="C55" i="76"/>
  <c r="U103" i="79"/>
  <c r="U79" i="79"/>
  <c r="U31" i="79"/>
  <c r="C125" i="79"/>
  <c r="C123" i="79"/>
  <c r="C121" i="79"/>
  <c r="C119" i="79"/>
  <c r="C117" i="79"/>
  <c r="C115" i="79"/>
  <c r="C113" i="79"/>
  <c r="C111" i="79"/>
  <c r="C109" i="79"/>
  <c r="C107" i="79"/>
  <c r="C105" i="79"/>
  <c r="C103" i="79"/>
  <c r="C101" i="79"/>
  <c r="C99" i="79"/>
  <c r="C97" i="79"/>
  <c r="C95" i="79"/>
  <c r="C93" i="79"/>
  <c r="C91" i="79"/>
  <c r="C89" i="79"/>
  <c r="C87" i="79"/>
  <c r="C85" i="79"/>
  <c r="C83" i="79"/>
  <c r="C81" i="79"/>
  <c r="C79" i="79"/>
  <c r="C29" i="79"/>
  <c r="C27" i="79"/>
  <c r="C25" i="79"/>
  <c r="C23" i="79"/>
  <c r="C21" i="79"/>
  <c r="C19" i="79"/>
  <c r="C17" i="79"/>
  <c r="C15" i="79"/>
  <c r="C13" i="79"/>
  <c r="C11" i="79"/>
  <c r="C9" i="79"/>
  <c r="C7" i="79"/>
  <c r="C53" i="79"/>
  <c r="C51" i="79"/>
  <c r="C49" i="79"/>
  <c r="C47" i="79"/>
  <c r="C45" i="79"/>
  <c r="C43" i="79"/>
  <c r="C41" i="79"/>
  <c r="C39" i="79"/>
  <c r="C37" i="79"/>
  <c r="C35" i="79"/>
  <c r="C33" i="79"/>
  <c r="C31" i="79"/>
  <c r="C77" i="79"/>
  <c r="C75" i="79"/>
  <c r="C73" i="79"/>
  <c r="C71" i="79"/>
  <c r="C69" i="79"/>
  <c r="C67" i="79"/>
  <c r="C65" i="79"/>
  <c r="C63" i="79"/>
  <c r="C61" i="79"/>
  <c r="C59" i="79"/>
  <c r="C57" i="79"/>
  <c r="C55" i="79"/>
  <c r="C29" i="78"/>
  <c r="C27" i="78"/>
  <c r="C25" i="78"/>
  <c r="C23" i="78"/>
  <c r="C21" i="78"/>
  <c r="C19" i="78"/>
  <c r="C17" i="78"/>
  <c r="C15" i="78"/>
  <c r="C13" i="78"/>
  <c r="C11" i="78"/>
  <c r="C9" i="78"/>
  <c r="C7" i="78"/>
  <c r="C53" i="78"/>
  <c r="C51" i="78"/>
  <c r="C49" i="78"/>
  <c r="C47" i="78"/>
  <c r="C45" i="78"/>
  <c r="C43" i="78"/>
  <c r="C41" i="78"/>
  <c r="C39" i="78"/>
  <c r="C37" i="78"/>
  <c r="C35" i="78"/>
  <c r="C33" i="78"/>
  <c r="U31" i="78"/>
  <c r="C31" i="78"/>
  <c r="C77" i="78"/>
  <c r="C75" i="78"/>
  <c r="C73" i="78"/>
  <c r="C71" i="78"/>
  <c r="C69" i="78"/>
  <c r="C67" i="78"/>
  <c r="C65" i="78"/>
  <c r="C63" i="78"/>
  <c r="C61" i="78"/>
  <c r="C59" i="78"/>
  <c r="C57" i="78"/>
  <c r="C55" i="78"/>
  <c r="U31" i="77"/>
  <c r="C77" i="77"/>
  <c r="C31" i="77"/>
  <c r="C33" i="77"/>
  <c r="C35" i="77"/>
  <c r="C37" i="77"/>
  <c r="C39" i="77"/>
  <c r="C41" i="77"/>
  <c r="C43" i="77"/>
  <c r="C45" i="77"/>
  <c r="C47" i="77"/>
  <c r="C49" i="77"/>
  <c r="C51" i="77"/>
  <c r="C53" i="77"/>
  <c r="C7" i="77"/>
  <c r="C9" i="77"/>
  <c r="C11" i="77"/>
  <c r="C13" i="77"/>
  <c r="C15" i="77"/>
  <c r="C17" i="77"/>
  <c r="C19" i="77"/>
  <c r="C21" i="77"/>
  <c r="C23" i="77"/>
  <c r="C25" i="77"/>
  <c r="C27" i="77"/>
  <c r="C29" i="77"/>
  <c r="C57" i="77"/>
  <c r="C59" i="77"/>
  <c r="C61" i="77"/>
  <c r="C63" i="77"/>
  <c r="C65" i="77"/>
  <c r="C67" i="77"/>
  <c r="C69" i="77"/>
  <c r="C71" i="77"/>
  <c r="C73" i="77"/>
  <c r="C75" i="77"/>
  <c r="C55" i="77"/>
  <c r="G29" i="2"/>
  <c r="E30" i="76" s="1"/>
  <c r="K29" i="2"/>
  <c r="G28" i="2"/>
  <c r="E29" i="76" s="1"/>
  <c r="G27" i="2"/>
  <c r="E28" i="76" s="1"/>
  <c r="K26" i="2"/>
  <c r="K27" i="2"/>
  <c r="G26" i="2"/>
  <c r="E27" i="76" s="1"/>
  <c r="G25" i="2"/>
  <c r="E26" i="76" s="1"/>
  <c r="K25" i="2"/>
  <c r="G24" i="2"/>
  <c r="E25" i="76" s="1"/>
  <c r="G23" i="2"/>
  <c r="E24" i="76" s="1"/>
  <c r="K23" i="2"/>
  <c r="G22" i="2"/>
  <c r="E23" i="76" s="1"/>
  <c r="G21" i="2"/>
  <c r="E22" i="76" s="1"/>
  <c r="K21" i="2"/>
  <c r="G20" i="2"/>
  <c r="E21" i="76" s="1"/>
  <c r="G19" i="2"/>
  <c r="E20" i="76" s="1"/>
  <c r="G18" i="2"/>
  <c r="E19" i="76" s="1"/>
  <c r="G17" i="2"/>
  <c r="E18" i="76" s="1"/>
  <c r="K17" i="2"/>
  <c r="G16" i="2"/>
  <c r="E17" i="76" s="1"/>
  <c r="G15" i="2"/>
  <c r="E16" i="76" s="1"/>
  <c r="K14" i="2"/>
  <c r="G14" i="2"/>
  <c r="E15" i="76" s="1"/>
  <c r="G13" i="2"/>
  <c r="E14" i="76" s="1"/>
  <c r="K13" i="2"/>
  <c r="G12" i="2"/>
  <c r="E13" i="76" s="1"/>
  <c r="G11" i="2"/>
  <c r="E12" i="76" s="1"/>
  <c r="K11" i="2"/>
  <c r="G10" i="2"/>
  <c r="E11" i="76" s="1"/>
  <c r="G9" i="2"/>
  <c r="E10" i="76" s="1"/>
  <c r="K9" i="2"/>
  <c r="G8" i="2"/>
  <c r="E9" i="76" s="1"/>
  <c r="G7" i="2"/>
  <c r="E8" i="76" s="1"/>
  <c r="K7" i="2"/>
  <c r="G6" i="2"/>
  <c r="E7" i="76" s="1"/>
  <c r="S56" i="2"/>
  <c r="G56" i="2"/>
  <c r="E54" i="76" s="1"/>
  <c r="W55" i="2"/>
  <c r="E125" i="79" s="1"/>
  <c r="R125" i="4"/>
  <c r="S55" i="2"/>
  <c r="O55" i="2"/>
  <c r="K55" i="2"/>
  <c r="R53" i="4"/>
  <c r="G55" i="2"/>
  <c r="S54" i="2"/>
  <c r="G54" i="2"/>
  <c r="E52" i="76" s="1"/>
  <c r="W54" i="2"/>
  <c r="E124" i="79" s="1"/>
  <c r="R123" i="4"/>
  <c r="S53" i="2"/>
  <c r="O53" i="2"/>
  <c r="K54" i="2"/>
  <c r="R51" i="4"/>
  <c r="G53" i="2"/>
  <c r="S52" i="2"/>
  <c r="G52" i="2"/>
  <c r="E50" i="76" s="1"/>
  <c r="W51" i="2"/>
  <c r="E121" i="79" s="1"/>
  <c r="R121" i="4"/>
  <c r="S51" i="2"/>
  <c r="O51" i="2"/>
  <c r="K52" i="2"/>
  <c r="R49" i="4"/>
  <c r="G51" i="2"/>
  <c r="E49" i="76" s="1"/>
  <c r="S50" i="2"/>
  <c r="G50" i="2"/>
  <c r="W50" i="2"/>
  <c r="E120" i="79" s="1"/>
  <c r="R119" i="4"/>
  <c r="S49" i="2"/>
  <c r="T119" i="4" s="1"/>
  <c r="O49" i="2"/>
  <c r="K50" i="2"/>
  <c r="R47" i="4"/>
  <c r="G49" i="2"/>
  <c r="S48" i="2"/>
  <c r="G48" i="2"/>
  <c r="E46" i="76" s="1"/>
  <c r="W48" i="2"/>
  <c r="E118" i="79" s="1"/>
  <c r="R117" i="4"/>
  <c r="S47" i="2"/>
  <c r="O47" i="2"/>
  <c r="K47" i="2"/>
  <c r="R45" i="4"/>
  <c r="G47" i="2"/>
  <c r="S46" i="2"/>
  <c r="G46" i="2"/>
  <c r="E44" i="76" s="1"/>
  <c r="R115" i="4"/>
  <c r="S45" i="2"/>
  <c r="O45" i="2"/>
  <c r="R43" i="4"/>
  <c r="G45" i="2"/>
  <c r="E43" i="76" s="1"/>
  <c r="S44" i="2"/>
  <c r="G44" i="2"/>
  <c r="E42" i="76" s="1"/>
  <c r="W44" i="2"/>
  <c r="E114" i="79" s="1"/>
  <c r="R113" i="4"/>
  <c r="S43" i="2"/>
  <c r="O43" i="2"/>
  <c r="K44" i="2"/>
  <c r="R41" i="4"/>
  <c r="G43" i="2"/>
  <c r="E41" i="76" s="1"/>
  <c r="S42" i="2"/>
  <c r="G42" i="2"/>
  <c r="W42" i="2"/>
  <c r="E112" i="79" s="1"/>
  <c r="R111" i="4"/>
  <c r="S41" i="2"/>
  <c r="O41" i="2"/>
  <c r="K42" i="2"/>
  <c r="R39" i="4"/>
  <c r="G41" i="2"/>
  <c r="E39" i="76" s="1"/>
  <c r="S40" i="2"/>
  <c r="G40" i="2"/>
  <c r="E38" i="76" s="1"/>
  <c r="W39" i="2"/>
  <c r="E109" i="79" s="1"/>
  <c r="R109" i="4"/>
  <c r="S39" i="2"/>
  <c r="O39" i="2"/>
  <c r="K39" i="2"/>
  <c r="F37" i="4"/>
  <c r="G39" i="2"/>
  <c r="S38" i="2"/>
  <c r="G38" i="2"/>
  <c r="W38" i="2"/>
  <c r="E108" i="79" s="1"/>
  <c r="R107" i="4"/>
  <c r="S37" i="2"/>
  <c r="T107" i="4" s="1"/>
  <c r="O37" i="2"/>
  <c r="K38" i="2"/>
  <c r="R35" i="4"/>
  <c r="G37" i="2"/>
  <c r="E35" i="76" s="1"/>
  <c r="S36" i="2"/>
  <c r="G36" i="2"/>
  <c r="E34" i="76" s="1"/>
  <c r="W36" i="2"/>
  <c r="E106" i="79" s="1"/>
  <c r="R105" i="4"/>
  <c r="S35" i="2"/>
  <c r="O35" i="2"/>
  <c r="K36" i="2"/>
  <c r="R33" i="4"/>
  <c r="G35" i="2"/>
  <c r="S34" i="2"/>
  <c r="G34" i="2"/>
  <c r="E32" i="76" s="1"/>
  <c r="W34" i="2"/>
  <c r="E104" i="79" s="1"/>
  <c r="R103" i="4"/>
  <c r="S33" i="2"/>
  <c r="T103" i="4" s="1"/>
  <c r="O33" i="2"/>
  <c r="K34" i="2"/>
  <c r="R31" i="4"/>
  <c r="G33" i="2"/>
  <c r="E31" i="76" s="1"/>
  <c r="S29" i="2"/>
  <c r="K83" i="2"/>
  <c r="G83" i="2"/>
  <c r="E78" i="76" s="1"/>
  <c r="W29" i="2"/>
  <c r="E102" i="79" s="1"/>
  <c r="R101" i="4"/>
  <c r="S28" i="2"/>
  <c r="O28" i="2"/>
  <c r="F101" i="8" s="1"/>
  <c r="K82" i="2"/>
  <c r="G82" i="2"/>
  <c r="E77" i="76" s="1"/>
  <c r="S27" i="2"/>
  <c r="K81" i="2"/>
  <c r="G81" i="2"/>
  <c r="E76" i="76" s="1"/>
  <c r="W27" i="2"/>
  <c r="E100" i="79" s="1"/>
  <c r="R99" i="4"/>
  <c r="S26" i="2"/>
  <c r="T99" i="4" s="1"/>
  <c r="O26" i="2"/>
  <c r="F99" i="8" s="1"/>
  <c r="K80" i="2"/>
  <c r="G80" i="2"/>
  <c r="E75" i="76" s="1"/>
  <c r="S25" i="2"/>
  <c r="K79" i="2"/>
  <c r="G79" i="2"/>
  <c r="E74" i="76" s="1"/>
  <c r="W25" i="2"/>
  <c r="E98" i="79" s="1"/>
  <c r="R97" i="4"/>
  <c r="S24" i="2"/>
  <c r="O24" i="2"/>
  <c r="F97" i="8" s="1"/>
  <c r="K78" i="2"/>
  <c r="G78" i="2"/>
  <c r="E73" i="76" s="1"/>
  <c r="S23" i="2"/>
  <c r="K77" i="2"/>
  <c r="G77" i="2"/>
  <c r="E72" i="76" s="1"/>
  <c r="W23" i="2"/>
  <c r="E96" i="79" s="1"/>
  <c r="R95" i="4"/>
  <c r="S22" i="2"/>
  <c r="O22" i="2"/>
  <c r="F95" i="8" s="1"/>
  <c r="K76" i="2"/>
  <c r="G76" i="2"/>
  <c r="E71" i="76" s="1"/>
  <c r="S21" i="2"/>
  <c r="K75" i="2"/>
  <c r="G75" i="2"/>
  <c r="E70" i="76" s="1"/>
  <c r="W21" i="2"/>
  <c r="E94" i="79" s="1"/>
  <c r="R93" i="4"/>
  <c r="S20" i="2"/>
  <c r="O20" i="2"/>
  <c r="F93" i="8" s="1"/>
  <c r="K74" i="2"/>
  <c r="G74" i="2"/>
  <c r="E69" i="76" s="1"/>
  <c r="S19" i="2"/>
  <c r="G73" i="2"/>
  <c r="E68" i="76" s="1"/>
  <c r="R91" i="4"/>
  <c r="S18" i="2"/>
  <c r="O18" i="2"/>
  <c r="F91" i="8" s="1"/>
  <c r="G72" i="2"/>
  <c r="E67" i="76" s="1"/>
  <c r="S17" i="2"/>
  <c r="K71" i="2"/>
  <c r="G71" i="2"/>
  <c r="E66" i="76" s="1"/>
  <c r="W17" i="2"/>
  <c r="E90" i="79" s="1"/>
  <c r="R89" i="4"/>
  <c r="S16" i="2"/>
  <c r="O16" i="2"/>
  <c r="F89" i="8" s="1"/>
  <c r="K70" i="2"/>
  <c r="G70" i="2"/>
  <c r="E65" i="76" s="1"/>
  <c r="S15" i="2"/>
  <c r="K69" i="2"/>
  <c r="G69" i="2"/>
  <c r="E64" i="76" s="1"/>
  <c r="W15" i="2"/>
  <c r="E88" i="79" s="1"/>
  <c r="R87" i="4"/>
  <c r="S14" i="2"/>
  <c r="T87" i="4" s="1"/>
  <c r="O14" i="2"/>
  <c r="F87" i="8" s="1"/>
  <c r="K68" i="2"/>
  <c r="G68" i="2"/>
  <c r="E63" i="76" s="1"/>
  <c r="S13" i="2"/>
  <c r="K67" i="2"/>
  <c r="G67" i="2"/>
  <c r="E62" i="76" s="1"/>
  <c r="W13" i="2"/>
  <c r="E86" i="79" s="1"/>
  <c r="R85" i="4"/>
  <c r="S12" i="2"/>
  <c r="O12" i="2"/>
  <c r="F85" i="8" s="1"/>
  <c r="K66" i="2"/>
  <c r="G66" i="2"/>
  <c r="E61" i="76" s="1"/>
  <c r="S11" i="2"/>
  <c r="K65" i="2"/>
  <c r="G65" i="2"/>
  <c r="E60" i="76" s="1"/>
  <c r="W11" i="2"/>
  <c r="E84" i="79" s="1"/>
  <c r="R83" i="4"/>
  <c r="S10" i="2"/>
  <c r="T83" i="4" s="1"/>
  <c r="O10" i="2"/>
  <c r="F83" i="8" s="1"/>
  <c r="K64" i="2"/>
  <c r="G64" i="2"/>
  <c r="E59" i="76" s="1"/>
  <c r="S9" i="2"/>
  <c r="K63" i="2"/>
  <c r="G63" i="2"/>
  <c r="E58" i="76" s="1"/>
  <c r="W9" i="2"/>
  <c r="E82" i="79" s="1"/>
  <c r="R81" i="4"/>
  <c r="S8" i="2"/>
  <c r="O8" i="2"/>
  <c r="F81" i="8" s="1"/>
  <c r="K62" i="2"/>
  <c r="G62" i="2"/>
  <c r="E57" i="76" s="1"/>
  <c r="S7" i="2"/>
  <c r="K61" i="2"/>
  <c r="G61" i="2"/>
  <c r="E56" i="76" s="1"/>
  <c r="W7" i="2"/>
  <c r="E80" i="79" s="1"/>
  <c r="R79" i="4"/>
  <c r="S6" i="2"/>
  <c r="O6" i="2"/>
  <c r="F79" i="8" s="1"/>
  <c r="K60" i="2"/>
  <c r="G60" i="2"/>
  <c r="E55" i="76" s="1"/>
  <c r="E56" i="77" l="1"/>
  <c r="E56" i="79"/>
  <c r="E59" i="77"/>
  <c r="E59" i="79"/>
  <c r="E64" i="77"/>
  <c r="E64" i="79"/>
  <c r="E70" i="79"/>
  <c r="E70" i="77"/>
  <c r="E73" i="79"/>
  <c r="E73" i="77"/>
  <c r="E78" i="79"/>
  <c r="E78" i="77"/>
  <c r="E32" i="77"/>
  <c r="E32" i="79"/>
  <c r="E40" i="77"/>
  <c r="E40" i="79"/>
  <c r="H47" i="4"/>
  <c r="E47" i="76"/>
  <c r="E52" i="77"/>
  <c r="E52" i="79"/>
  <c r="E10" i="79"/>
  <c r="E10" i="77"/>
  <c r="E18" i="79"/>
  <c r="E18" i="77"/>
  <c r="E24" i="77"/>
  <c r="E24" i="79"/>
  <c r="E61" i="79"/>
  <c r="E61" i="77"/>
  <c r="E53" i="79"/>
  <c r="E53" i="77"/>
  <c r="E58" i="79"/>
  <c r="E58" i="77"/>
  <c r="E66" i="79"/>
  <c r="E66" i="77"/>
  <c r="E34" i="79"/>
  <c r="E34" i="77"/>
  <c r="H37" i="4"/>
  <c r="E37" i="76"/>
  <c r="E42" i="79"/>
  <c r="E42" i="77"/>
  <c r="E45" i="79"/>
  <c r="E45" i="77"/>
  <c r="E22" i="79"/>
  <c r="E22" i="77"/>
  <c r="E55" i="77"/>
  <c r="E55" i="79"/>
  <c r="E60" i="77"/>
  <c r="E60" i="79"/>
  <c r="E69" i="79"/>
  <c r="E69" i="77"/>
  <c r="E74" i="79"/>
  <c r="E74" i="77"/>
  <c r="E77" i="79"/>
  <c r="E77" i="77"/>
  <c r="E36" i="77"/>
  <c r="E36" i="79"/>
  <c r="E48" i="77"/>
  <c r="E48" i="79"/>
  <c r="H51" i="4"/>
  <c r="E51" i="76"/>
  <c r="E14" i="79"/>
  <c r="E14" i="77"/>
  <c r="E28" i="77"/>
  <c r="E28" i="79"/>
  <c r="E30" i="79"/>
  <c r="E30" i="77"/>
  <c r="E72" i="77"/>
  <c r="E72" i="79"/>
  <c r="E75" i="77"/>
  <c r="E75" i="79"/>
  <c r="H40" i="4"/>
  <c r="E40" i="76"/>
  <c r="E8" i="77"/>
  <c r="E8" i="79"/>
  <c r="E15" i="77"/>
  <c r="E15" i="79"/>
  <c r="E63" i="77"/>
  <c r="E63" i="79"/>
  <c r="E57" i="79"/>
  <c r="E57" i="77"/>
  <c r="E62" i="79"/>
  <c r="E62" i="77"/>
  <c r="E65" i="79"/>
  <c r="E65" i="77"/>
  <c r="E71" i="77"/>
  <c r="E71" i="79"/>
  <c r="E76" i="77"/>
  <c r="E76" i="79"/>
  <c r="T33" i="4"/>
  <c r="E33" i="76"/>
  <c r="H36" i="4"/>
  <c r="E36" i="76"/>
  <c r="E37" i="79"/>
  <c r="E37" i="77"/>
  <c r="T45" i="4"/>
  <c r="E45" i="76"/>
  <c r="H48" i="4"/>
  <c r="E48" i="76"/>
  <c r="E50" i="79"/>
  <c r="E50" i="77"/>
  <c r="H53" i="4"/>
  <c r="E53" i="76"/>
  <c r="E12" i="77"/>
  <c r="E12" i="79"/>
  <c r="E26" i="79"/>
  <c r="E26" i="77"/>
  <c r="E27" i="77"/>
  <c r="E27" i="79"/>
  <c r="E57" i="8"/>
  <c r="E57" i="9"/>
  <c r="E62" i="8"/>
  <c r="E62" i="9"/>
  <c r="E65" i="8"/>
  <c r="E65" i="9"/>
  <c r="E68" i="5"/>
  <c r="E68" i="6"/>
  <c r="E71" i="8"/>
  <c r="E71" i="9"/>
  <c r="H25" i="4"/>
  <c r="E73" i="5"/>
  <c r="E73" i="6"/>
  <c r="E76" i="8"/>
  <c r="E76" i="9"/>
  <c r="E78" i="5"/>
  <c r="E78" i="6"/>
  <c r="E12" i="8"/>
  <c r="E12" i="9"/>
  <c r="E20" i="5"/>
  <c r="E20" i="6"/>
  <c r="E23" i="5"/>
  <c r="E23" i="6"/>
  <c r="H78" i="4"/>
  <c r="E30" i="5"/>
  <c r="E30" i="6"/>
  <c r="E55" i="78"/>
  <c r="E55" i="6"/>
  <c r="E55" i="5"/>
  <c r="E60" i="5"/>
  <c r="E60" i="6"/>
  <c r="E63" i="6"/>
  <c r="E63" i="5"/>
  <c r="H21" i="4"/>
  <c r="E69" i="5"/>
  <c r="E69" i="6"/>
  <c r="E55" i="8"/>
  <c r="E55" i="9"/>
  <c r="H9" i="4"/>
  <c r="E57" i="5"/>
  <c r="E57" i="6"/>
  <c r="E60" i="8"/>
  <c r="E60" i="9"/>
  <c r="E62" i="5"/>
  <c r="E62" i="6"/>
  <c r="E63" i="9"/>
  <c r="E63" i="8"/>
  <c r="H17" i="4"/>
  <c r="E65" i="5"/>
  <c r="E65" i="6"/>
  <c r="E69" i="8"/>
  <c r="E69" i="9"/>
  <c r="E71" i="6"/>
  <c r="E71" i="5"/>
  <c r="E74" i="8"/>
  <c r="E74" i="9"/>
  <c r="E76" i="5"/>
  <c r="E76" i="6"/>
  <c r="E77" i="8"/>
  <c r="E77" i="9"/>
  <c r="E8" i="5"/>
  <c r="E8" i="6"/>
  <c r="E11" i="6"/>
  <c r="E11" i="5"/>
  <c r="E14" i="8"/>
  <c r="E14" i="9"/>
  <c r="E16" i="5"/>
  <c r="E16" i="6"/>
  <c r="T67" i="4"/>
  <c r="E19" i="5"/>
  <c r="E19" i="6"/>
  <c r="E22" i="5"/>
  <c r="E22" i="6"/>
  <c r="E25" i="78"/>
  <c r="E25" i="5"/>
  <c r="E25" i="6"/>
  <c r="E28" i="8"/>
  <c r="E28" i="9"/>
  <c r="E30" i="8"/>
  <c r="E30" i="9"/>
  <c r="E59" i="5"/>
  <c r="E59" i="6"/>
  <c r="H62" i="4"/>
  <c r="E14" i="5"/>
  <c r="E14" i="6"/>
  <c r="E27" i="9"/>
  <c r="E27" i="8"/>
  <c r="E58" i="5"/>
  <c r="E58" i="6"/>
  <c r="H13" i="4"/>
  <c r="E61" i="5"/>
  <c r="E61" i="6"/>
  <c r="E64" i="8"/>
  <c r="E64" i="9"/>
  <c r="E66" i="5"/>
  <c r="E66" i="6"/>
  <c r="E70" i="8"/>
  <c r="E70" i="9"/>
  <c r="E72" i="5"/>
  <c r="E72" i="6"/>
  <c r="E73" i="8"/>
  <c r="E73" i="9"/>
  <c r="E75" i="5"/>
  <c r="E75" i="6"/>
  <c r="E78" i="8"/>
  <c r="E78" i="9"/>
  <c r="E7" i="6"/>
  <c r="E7" i="5"/>
  <c r="E10" i="8"/>
  <c r="E10" i="9"/>
  <c r="E12" i="5"/>
  <c r="E12" i="6"/>
  <c r="T63" i="4"/>
  <c r="E15" i="6"/>
  <c r="E15" i="5"/>
  <c r="E18" i="8"/>
  <c r="E18" i="9"/>
  <c r="H69" i="4"/>
  <c r="E21" i="5"/>
  <c r="E21" i="6"/>
  <c r="E24" i="8"/>
  <c r="E24" i="9"/>
  <c r="H74" i="4"/>
  <c r="E26" i="5"/>
  <c r="E26" i="6"/>
  <c r="E28" i="5"/>
  <c r="E28" i="6"/>
  <c r="E56" i="5"/>
  <c r="E56" i="6"/>
  <c r="E64" i="5"/>
  <c r="E64" i="6"/>
  <c r="E67" i="5"/>
  <c r="E67" i="6"/>
  <c r="E70" i="5"/>
  <c r="E70" i="6"/>
  <c r="E9" i="5"/>
  <c r="E9" i="6"/>
  <c r="H65" i="4"/>
  <c r="E17" i="5"/>
  <c r="E17" i="6"/>
  <c r="E26" i="8"/>
  <c r="E26" i="9"/>
  <c r="E56" i="8"/>
  <c r="E56" i="9"/>
  <c r="E59" i="9"/>
  <c r="E59" i="8"/>
  <c r="E58" i="8"/>
  <c r="E58" i="9"/>
  <c r="E61" i="8"/>
  <c r="E61" i="9"/>
  <c r="E66" i="8"/>
  <c r="E66" i="9"/>
  <c r="E72" i="8"/>
  <c r="E72" i="9"/>
  <c r="E74" i="5"/>
  <c r="E74" i="6"/>
  <c r="E75" i="9"/>
  <c r="E75" i="8"/>
  <c r="H29" i="4"/>
  <c r="E77" i="5"/>
  <c r="E77" i="6"/>
  <c r="E8" i="8"/>
  <c r="E8" i="9"/>
  <c r="H58" i="4"/>
  <c r="E10" i="5"/>
  <c r="E10" i="6"/>
  <c r="H61" i="4"/>
  <c r="E13" i="5"/>
  <c r="E13" i="6"/>
  <c r="E15" i="8"/>
  <c r="E15" i="9"/>
  <c r="H66" i="4"/>
  <c r="E18" i="5"/>
  <c r="E18" i="6"/>
  <c r="E22" i="8"/>
  <c r="E22" i="9"/>
  <c r="E24" i="5"/>
  <c r="E24" i="6"/>
  <c r="E27" i="6"/>
  <c r="E27" i="5"/>
  <c r="H77" i="4"/>
  <c r="E29" i="5"/>
  <c r="E29" i="6"/>
  <c r="H39" i="4"/>
  <c r="H35" i="4"/>
  <c r="K15" i="2"/>
  <c r="K10" i="2"/>
  <c r="W8" i="2"/>
  <c r="E81" i="79" s="1"/>
  <c r="W12" i="2"/>
  <c r="E85" i="79" s="1"/>
  <c r="W16" i="2"/>
  <c r="E89" i="79" s="1"/>
  <c r="W20" i="2"/>
  <c r="E93" i="79" s="1"/>
  <c r="W24" i="2"/>
  <c r="E97" i="79" s="1"/>
  <c r="W28" i="2"/>
  <c r="E101" i="79" s="1"/>
  <c r="K33" i="2"/>
  <c r="W43" i="2"/>
  <c r="E113" i="79" s="1"/>
  <c r="K49" i="2"/>
  <c r="K53" i="2"/>
  <c r="W35" i="2"/>
  <c r="E105" i="79" s="1"/>
  <c r="K41" i="2"/>
  <c r="K51" i="2"/>
  <c r="K20" i="2"/>
  <c r="F49" i="4"/>
  <c r="F41" i="4"/>
  <c r="E79" i="76"/>
  <c r="F93" i="76"/>
  <c r="G93" i="76" s="1"/>
  <c r="F93" i="79"/>
  <c r="G93" i="79" s="1"/>
  <c r="E95" i="76"/>
  <c r="E112" i="76"/>
  <c r="T112" i="4"/>
  <c r="E43" i="78"/>
  <c r="T43" i="4"/>
  <c r="E44" i="78"/>
  <c r="T44" i="4"/>
  <c r="W52" i="2"/>
  <c r="E122" i="79" s="1"/>
  <c r="T57" i="4"/>
  <c r="H57" i="4"/>
  <c r="H73" i="4"/>
  <c r="E80" i="76"/>
  <c r="T80" i="4"/>
  <c r="E81" i="76"/>
  <c r="T81" i="4"/>
  <c r="E58" i="78"/>
  <c r="E59" i="78"/>
  <c r="E84" i="76"/>
  <c r="T84" i="4"/>
  <c r="E85" i="76"/>
  <c r="T85" i="4"/>
  <c r="E62" i="78"/>
  <c r="E63" i="78"/>
  <c r="E88" i="76"/>
  <c r="T88" i="4"/>
  <c r="E89" i="76"/>
  <c r="T89" i="4"/>
  <c r="E66" i="78"/>
  <c r="E67" i="78"/>
  <c r="E92" i="76"/>
  <c r="T92" i="4"/>
  <c r="E93" i="76"/>
  <c r="T93" i="4"/>
  <c r="E70" i="78"/>
  <c r="E71" i="78"/>
  <c r="E96" i="76"/>
  <c r="T96" i="4"/>
  <c r="E97" i="76"/>
  <c r="T97" i="4"/>
  <c r="E74" i="78"/>
  <c r="E75" i="78"/>
  <c r="T27" i="4"/>
  <c r="E100" i="76"/>
  <c r="T100" i="4"/>
  <c r="E101" i="76"/>
  <c r="T101" i="4"/>
  <c r="T30" i="4"/>
  <c r="E78" i="78"/>
  <c r="E31" i="78"/>
  <c r="H31" i="4"/>
  <c r="T31" i="4"/>
  <c r="F103" i="76"/>
  <c r="G103" i="76" s="1"/>
  <c r="F103" i="79"/>
  <c r="G103" i="79" s="1"/>
  <c r="E32" i="78"/>
  <c r="T32" i="4"/>
  <c r="K37" i="2"/>
  <c r="E110" i="76"/>
  <c r="T110" i="4"/>
  <c r="E41" i="78"/>
  <c r="E113" i="76"/>
  <c r="T113" i="4"/>
  <c r="E42" i="78"/>
  <c r="T42" i="4"/>
  <c r="E115" i="76"/>
  <c r="E116" i="76"/>
  <c r="T116" i="4"/>
  <c r="F117" i="76"/>
  <c r="G117" i="76" s="1"/>
  <c r="F117" i="79"/>
  <c r="G117" i="79" s="1"/>
  <c r="W47" i="2"/>
  <c r="E117" i="79" s="1"/>
  <c r="E47" i="78"/>
  <c r="T47" i="4"/>
  <c r="F119" i="76"/>
  <c r="G119" i="76" s="1"/>
  <c r="F119" i="79"/>
  <c r="G119" i="79" s="1"/>
  <c r="W49" i="2"/>
  <c r="E119" i="79" s="1"/>
  <c r="E49" i="78"/>
  <c r="F121" i="76"/>
  <c r="G121" i="76" s="1"/>
  <c r="F121" i="79"/>
  <c r="G121" i="79" s="1"/>
  <c r="E51" i="78"/>
  <c r="T51" i="4"/>
  <c r="F123" i="76"/>
  <c r="G123" i="76" s="1"/>
  <c r="F123" i="79"/>
  <c r="G123" i="79" s="1"/>
  <c r="E52" i="78"/>
  <c r="T52" i="4"/>
  <c r="W56" i="2"/>
  <c r="E126" i="79" s="1"/>
  <c r="K6" i="2"/>
  <c r="E11" i="78"/>
  <c r="E12" i="78"/>
  <c r="T60" i="4"/>
  <c r="K16" i="2"/>
  <c r="T69" i="4"/>
  <c r="E22" i="78"/>
  <c r="T70" i="4"/>
  <c r="K22" i="2"/>
  <c r="E27" i="78"/>
  <c r="E28" i="78"/>
  <c r="T76" i="4"/>
  <c r="H10" i="4"/>
  <c r="H14" i="4"/>
  <c r="H18" i="4"/>
  <c r="H22" i="4"/>
  <c r="H26" i="4"/>
  <c r="H30" i="4"/>
  <c r="F47" i="4"/>
  <c r="F39" i="4"/>
  <c r="H32" i="4"/>
  <c r="H44" i="4"/>
  <c r="H52" i="4"/>
  <c r="H70" i="4"/>
  <c r="H7" i="4"/>
  <c r="T10" i="4"/>
  <c r="T14" i="4"/>
  <c r="T18" i="4"/>
  <c r="T22" i="4"/>
  <c r="T26" i="4"/>
  <c r="R37" i="4"/>
  <c r="E9" i="78"/>
  <c r="F81" i="76"/>
  <c r="F81" i="79"/>
  <c r="G81" i="79" s="1"/>
  <c r="E83" i="76"/>
  <c r="F89" i="76"/>
  <c r="G89" i="76" s="1"/>
  <c r="F89" i="79"/>
  <c r="G89" i="79" s="1"/>
  <c r="E91" i="76"/>
  <c r="F101" i="76"/>
  <c r="G101" i="76" s="1"/>
  <c r="F101" i="79"/>
  <c r="G101" i="79" s="1"/>
  <c r="E106" i="76"/>
  <c r="T106" i="4"/>
  <c r="E109" i="76"/>
  <c r="T109" i="4"/>
  <c r="E111" i="76"/>
  <c r="F115" i="76"/>
  <c r="G115" i="76" s="1"/>
  <c r="F115" i="79"/>
  <c r="G115" i="79" s="1"/>
  <c r="E10" i="78"/>
  <c r="T58" i="4"/>
  <c r="E15" i="78"/>
  <c r="E16" i="78"/>
  <c r="T64" i="4"/>
  <c r="T73" i="4"/>
  <c r="H43" i="4"/>
  <c r="E69" i="78"/>
  <c r="E73" i="78"/>
  <c r="E77" i="78"/>
  <c r="E103" i="76"/>
  <c r="E104" i="76"/>
  <c r="T104" i="4"/>
  <c r="F105" i="76"/>
  <c r="G105" i="76" s="1"/>
  <c r="F105" i="79"/>
  <c r="G105" i="79" s="1"/>
  <c r="E35" i="78"/>
  <c r="T35" i="4"/>
  <c r="F107" i="76"/>
  <c r="G107" i="76" s="1"/>
  <c r="F107" i="79"/>
  <c r="G107" i="79" s="1"/>
  <c r="E36" i="78"/>
  <c r="T36" i="4"/>
  <c r="W40" i="2"/>
  <c r="E110" i="79" s="1"/>
  <c r="E114" i="76"/>
  <c r="T114" i="4"/>
  <c r="E45" i="78"/>
  <c r="E117" i="76"/>
  <c r="T117" i="4"/>
  <c r="E46" i="78"/>
  <c r="T46" i="4"/>
  <c r="E119" i="76"/>
  <c r="E48" i="78"/>
  <c r="T48" i="4"/>
  <c r="E121" i="76"/>
  <c r="T121" i="4"/>
  <c r="E50" i="78"/>
  <c r="T50" i="4"/>
  <c r="E123" i="76"/>
  <c r="E124" i="76"/>
  <c r="T124" i="4"/>
  <c r="F125" i="76"/>
  <c r="G125" i="76" s="1"/>
  <c r="F125" i="79"/>
  <c r="G125" i="79" s="1"/>
  <c r="E7" i="78"/>
  <c r="T55" i="4"/>
  <c r="E8" i="78"/>
  <c r="T56" i="4"/>
  <c r="K12" i="2"/>
  <c r="T65" i="4"/>
  <c r="E18" i="78"/>
  <c r="T66" i="4"/>
  <c r="E23" i="78"/>
  <c r="E24" i="78"/>
  <c r="T72" i="4"/>
  <c r="K28" i="2"/>
  <c r="H11" i="4"/>
  <c r="H15" i="4"/>
  <c r="H19" i="4"/>
  <c r="H23" i="4"/>
  <c r="H27" i="4"/>
  <c r="F53" i="4"/>
  <c r="F45" i="4"/>
  <c r="H33" i="4"/>
  <c r="H41" i="4"/>
  <c r="H45" i="4"/>
  <c r="H49" i="4"/>
  <c r="H59" i="4"/>
  <c r="H63" i="4"/>
  <c r="H67" i="4"/>
  <c r="H71" i="4"/>
  <c r="H75" i="4"/>
  <c r="T7" i="4"/>
  <c r="T11" i="4"/>
  <c r="T15" i="4"/>
  <c r="T19" i="4"/>
  <c r="T23" i="4"/>
  <c r="T29" i="4"/>
  <c r="T49" i="4"/>
  <c r="T123" i="4"/>
  <c r="E21" i="78"/>
  <c r="F85" i="76"/>
  <c r="G85" i="76" s="1"/>
  <c r="F85" i="79"/>
  <c r="G85" i="79" s="1"/>
  <c r="E87" i="76"/>
  <c r="F97" i="76"/>
  <c r="G97" i="76" s="1"/>
  <c r="F97" i="79"/>
  <c r="G97" i="79" s="1"/>
  <c r="E99" i="76"/>
  <c r="E37" i="78"/>
  <c r="E38" i="78"/>
  <c r="T38" i="4"/>
  <c r="F113" i="76"/>
  <c r="G113" i="76" s="1"/>
  <c r="F113" i="79"/>
  <c r="G113" i="79" s="1"/>
  <c r="E126" i="76"/>
  <c r="T126" i="4"/>
  <c r="E26" i="78"/>
  <c r="T74" i="4"/>
  <c r="F33" i="4"/>
  <c r="E57" i="78"/>
  <c r="E61" i="78"/>
  <c r="E65" i="78"/>
  <c r="F79" i="76"/>
  <c r="F79" i="79"/>
  <c r="G79" i="79" s="1"/>
  <c r="E56" i="78"/>
  <c r="E82" i="76"/>
  <c r="T82" i="4"/>
  <c r="F83" i="76"/>
  <c r="G83" i="76" s="1"/>
  <c r="F83" i="79"/>
  <c r="G83" i="79" s="1"/>
  <c r="E60" i="78"/>
  <c r="E86" i="76"/>
  <c r="T86" i="4"/>
  <c r="F87" i="76"/>
  <c r="G87" i="76" s="1"/>
  <c r="F87" i="79"/>
  <c r="G87" i="79" s="1"/>
  <c r="E64" i="78"/>
  <c r="E90" i="76"/>
  <c r="T90" i="4"/>
  <c r="F91" i="76"/>
  <c r="G91" i="76" s="1"/>
  <c r="F91" i="79"/>
  <c r="G91" i="79" s="1"/>
  <c r="E68" i="78"/>
  <c r="E94" i="76"/>
  <c r="T94" i="4"/>
  <c r="F95" i="76"/>
  <c r="G95" i="76" s="1"/>
  <c r="F95" i="79"/>
  <c r="G95" i="79" s="1"/>
  <c r="E72" i="78"/>
  <c r="E98" i="76"/>
  <c r="T98" i="4"/>
  <c r="F99" i="76"/>
  <c r="G99" i="76" s="1"/>
  <c r="F99" i="79"/>
  <c r="G99" i="79" s="1"/>
  <c r="E76" i="78"/>
  <c r="T28" i="4"/>
  <c r="E102" i="76"/>
  <c r="T102" i="4"/>
  <c r="E33" i="78"/>
  <c r="E105" i="76"/>
  <c r="T105" i="4"/>
  <c r="E34" i="78"/>
  <c r="T34" i="4"/>
  <c r="E107" i="76"/>
  <c r="E108" i="76"/>
  <c r="T108" i="4"/>
  <c r="F109" i="76"/>
  <c r="G109" i="76" s="1"/>
  <c r="F109" i="79"/>
  <c r="G109" i="79" s="1"/>
  <c r="E39" i="78"/>
  <c r="T39" i="4"/>
  <c r="F111" i="76"/>
  <c r="G111" i="76" s="1"/>
  <c r="F111" i="79"/>
  <c r="G111" i="79" s="1"/>
  <c r="E40" i="78"/>
  <c r="T40" i="4"/>
  <c r="E118" i="76"/>
  <c r="T118" i="4"/>
  <c r="E120" i="76"/>
  <c r="T120" i="4"/>
  <c r="E122" i="76"/>
  <c r="T122" i="4"/>
  <c r="E53" i="78"/>
  <c r="E125" i="76"/>
  <c r="T125" i="4"/>
  <c r="E54" i="78"/>
  <c r="T54" i="4"/>
  <c r="K8" i="2"/>
  <c r="T61" i="4"/>
  <c r="E14" i="78"/>
  <c r="T62" i="4"/>
  <c r="E19" i="78"/>
  <c r="E20" i="78"/>
  <c r="T68" i="4"/>
  <c r="K24" i="2"/>
  <c r="T77" i="4"/>
  <c r="E30" i="78"/>
  <c r="T78" i="4"/>
  <c r="H8" i="4"/>
  <c r="H12" i="4"/>
  <c r="H16" i="4"/>
  <c r="H20" i="4"/>
  <c r="H24" i="4"/>
  <c r="H28" i="4"/>
  <c r="F51" i="4"/>
  <c r="F43" i="4"/>
  <c r="F35" i="4"/>
  <c r="H34" i="4"/>
  <c r="H38" i="4"/>
  <c r="H42" i="4"/>
  <c r="H46" i="4"/>
  <c r="H50" i="4"/>
  <c r="H54" i="4"/>
  <c r="H56" i="4"/>
  <c r="H60" i="4"/>
  <c r="H64" i="4"/>
  <c r="H68" i="4"/>
  <c r="H72" i="4"/>
  <c r="H76" i="4"/>
  <c r="F31" i="4"/>
  <c r="T8" i="4"/>
  <c r="T12" i="4"/>
  <c r="T16" i="4"/>
  <c r="T20" i="4"/>
  <c r="T24" i="4"/>
  <c r="T37" i="4"/>
  <c r="T53" i="4"/>
  <c r="T71" i="4"/>
  <c r="T91" i="4"/>
  <c r="T111" i="4"/>
  <c r="E17" i="78"/>
  <c r="T9" i="4"/>
  <c r="T13" i="4"/>
  <c r="T17" i="4"/>
  <c r="T21" i="4"/>
  <c r="T25" i="4"/>
  <c r="T41" i="4"/>
  <c r="H55" i="4"/>
  <c r="T59" i="4"/>
  <c r="T75" i="4"/>
  <c r="T79" i="4"/>
  <c r="T95" i="4"/>
  <c r="T115" i="4"/>
  <c r="E13" i="78"/>
  <c r="E29" i="78"/>
  <c r="W10" i="2"/>
  <c r="E83" i="79" s="1"/>
  <c r="W26" i="2"/>
  <c r="E99" i="79" s="1"/>
  <c r="W33" i="2"/>
  <c r="E103" i="79" s="1"/>
  <c r="K35" i="2"/>
  <c r="W41" i="2"/>
  <c r="E111" i="79" s="1"/>
  <c r="K43" i="2"/>
  <c r="K40" i="2"/>
  <c r="K48" i="2"/>
  <c r="K56" i="2"/>
  <c r="W6" i="2"/>
  <c r="E79" i="79" s="1"/>
  <c r="W14" i="2"/>
  <c r="E87" i="79" s="1"/>
  <c r="W22" i="2"/>
  <c r="E95" i="79" s="1"/>
  <c r="W37" i="2"/>
  <c r="E107" i="79" s="1"/>
  <c r="W53" i="2"/>
  <c r="E123" i="79" s="1"/>
  <c r="N96" i="79" l="1"/>
  <c r="N95" i="79"/>
  <c r="Q96" i="79"/>
  <c r="Q95" i="79"/>
  <c r="K95" i="79"/>
  <c r="H96" i="79"/>
  <c r="H95" i="79"/>
  <c r="K96" i="79"/>
  <c r="N80" i="79"/>
  <c r="N79" i="79"/>
  <c r="Q80" i="79"/>
  <c r="Q79" i="79"/>
  <c r="K79" i="79"/>
  <c r="H80" i="79"/>
  <c r="H79" i="79"/>
  <c r="K80" i="79"/>
  <c r="Q98" i="79"/>
  <c r="Q97" i="79"/>
  <c r="N98" i="79"/>
  <c r="N97" i="79"/>
  <c r="K98" i="79"/>
  <c r="K97" i="79"/>
  <c r="H98" i="79"/>
  <c r="H97" i="79"/>
  <c r="N108" i="79"/>
  <c r="N107" i="79"/>
  <c r="Q108" i="79"/>
  <c r="Q107" i="79"/>
  <c r="K107" i="79"/>
  <c r="K108" i="79"/>
  <c r="H108" i="79"/>
  <c r="H107" i="79"/>
  <c r="Q106" i="79"/>
  <c r="Q105" i="79"/>
  <c r="N106" i="79"/>
  <c r="N105" i="79"/>
  <c r="K106" i="79"/>
  <c r="K105" i="79"/>
  <c r="H106" i="79"/>
  <c r="H105" i="79"/>
  <c r="Q82" i="79"/>
  <c r="Q81" i="79"/>
  <c r="N82" i="79"/>
  <c r="N81" i="79"/>
  <c r="K82" i="79"/>
  <c r="K81" i="79"/>
  <c r="H82" i="79"/>
  <c r="H81" i="79"/>
  <c r="N112" i="79"/>
  <c r="N111" i="79"/>
  <c r="Q112" i="79"/>
  <c r="Q111" i="79"/>
  <c r="K111" i="79"/>
  <c r="H112" i="79"/>
  <c r="H111" i="79"/>
  <c r="K112" i="79"/>
  <c r="Q110" i="79"/>
  <c r="Q109" i="79"/>
  <c r="N110" i="79"/>
  <c r="N109" i="79"/>
  <c r="K110" i="79"/>
  <c r="K109" i="79"/>
  <c r="H110" i="79"/>
  <c r="H109" i="79"/>
  <c r="N92" i="79"/>
  <c r="N91" i="79"/>
  <c r="Q92" i="79"/>
  <c r="Q91" i="79"/>
  <c r="K91" i="79"/>
  <c r="K92" i="79"/>
  <c r="H92" i="79"/>
  <c r="H91" i="79"/>
  <c r="Q90" i="79"/>
  <c r="Q89" i="79"/>
  <c r="N90" i="79"/>
  <c r="N89" i="79"/>
  <c r="K90" i="79"/>
  <c r="K89" i="79"/>
  <c r="H90" i="79"/>
  <c r="H89" i="79"/>
  <c r="N124" i="79"/>
  <c r="N123" i="79"/>
  <c r="Q124" i="79"/>
  <c r="Q123" i="79"/>
  <c r="K123" i="79"/>
  <c r="K124" i="79"/>
  <c r="H124" i="79"/>
  <c r="H123" i="79"/>
  <c r="Q122" i="79"/>
  <c r="Q121" i="79"/>
  <c r="N122" i="79"/>
  <c r="N121" i="79"/>
  <c r="K122" i="79"/>
  <c r="K121" i="79"/>
  <c r="H122" i="79"/>
  <c r="H121" i="79"/>
  <c r="N120" i="79"/>
  <c r="N119" i="79"/>
  <c r="Q120" i="79"/>
  <c r="Q119" i="79"/>
  <c r="K119" i="79"/>
  <c r="H120" i="79"/>
  <c r="K120" i="79"/>
  <c r="H119" i="79"/>
  <c r="N104" i="79"/>
  <c r="N103" i="79"/>
  <c r="Q104" i="79"/>
  <c r="Q103" i="79"/>
  <c r="K103" i="79"/>
  <c r="H104" i="79"/>
  <c r="K104" i="79"/>
  <c r="H103" i="79"/>
  <c r="N88" i="79"/>
  <c r="N87" i="79"/>
  <c r="Q88" i="79"/>
  <c r="Q87" i="79"/>
  <c r="K87" i="79"/>
  <c r="H88" i="79"/>
  <c r="K88" i="79"/>
  <c r="H87" i="79"/>
  <c r="Q114" i="79"/>
  <c r="Q113" i="79"/>
  <c r="N114" i="79"/>
  <c r="N113" i="79"/>
  <c r="K114" i="79"/>
  <c r="K113" i="79"/>
  <c r="H114" i="79"/>
  <c r="H113" i="79"/>
  <c r="Q126" i="79"/>
  <c r="Q125" i="79"/>
  <c r="K126" i="79"/>
  <c r="K125" i="79"/>
  <c r="H126" i="79"/>
  <c r="H125" i="79"/>
  <c r="Q102" i="79"/>
  <c r="Q101" i="79"/>
  <c r="N102" i="79"/>
  <c r="N101" i="79"/>
  <c r="K102" i="79"/>
  <c r="K101" i="79"/>
  <c r="H102" i="79"/>
  <c r="H101" i="79"/>
  <c r="Q118" i="79"/>
  <c r="Q117" i="79"/>
  <c r="N118" i="79"/>
  <c r="N117" i="79"/>
  <c r="K118" i="79"/>
  <c r="K117" i="79"/>
  <c r="H118" i="79"/>
  <c r="H117" i="79"/>
  <c r="Q94" i="79"/>
  <c r="Q93" i="79"/>
  <c r="N94" i="79"/>
  <c r="N93" i="79"/>
  <c r="K94" i="79"/>
  <c r="K93" i="79"/>
  <c r="H94" i="79"/>
  <c r="H93" i="79"/>
  <c r="N100" i="79"/>
  <c r="N99" i="79"/>
  <c r="Q100" i="79"/>
  <c r="Q99" i="79"/>
  <c r="K99" i="79"/>
  <c r="H100" i="79"/>
  <c r="H99" i="79"/>
  <c r="K100" i="79"/>
  <c r="N84" i="79"/>
  <c r="N83" i="79"/>
  <c r="Q84" i="79"/>
  <c r="Q83" i="79"/>
  <c r="K83" i="79"/>
  <c r="H84" i="79"/>
  <c r="H83" i="79"/>
  <c r="K84" i="79"/>
  <c r="Q86" i="79"/>
  <c r="Q85" i="79"/>
  <c r="N86" i="79"/>
  <c r="N85" i="79"/>
  <c r="K86" i="79"/>
  <c r="K85" i="79"/>
  <c r="H86" i="79"/>
  <c r="H85" i="79"/>
  <c r="N116" i="79"/>
  <c r="N115" i="79"/>
  <c r="Q116" i="79"/>
  <c r="Q115" i="79"/>
  <c r="K115" i="79"/>
  <c r="H116" i="79"/>
  <c r="H115" i="79"/>
  <c r="K116" i="79"/>
  <c r="Q96" i="76"/>
  <c r="N96" i="76"/>
  <c r="Q95" i="76"/>
  <c r="N95" i="76"/>
  <c r="K95" i="76"/>
  <c r="H95" i="76"/>
  <c r="K96" i="76"/>
  <c r="H96" i="76"/>
  <c r="Q110" i="76"/>
  <c r="Q109" i="76"/>
  <c r="N109" i="76"/>
  <c r="N110" i="76"/>
  <c r="K110" i="76"/>
  <c r="H110" i="76"/>
  <c r="K109" i="76"/>
  <c r="H109" i="76"/>
  <c r="Q92" i="76"/>
  <c r="N92" i="76"/>
  <c r="Q91" i="76"/>
  <c r="N91" i="76"/>
  <c r="K91" i="76"/>
  <c r="K92" i="76"/>
  <c r="H92" i="76"/>
  <c r="H91" i="76"/>
  <c r="Q90" i="76"/>
  <c r="N90" i="76"/>
  <c r="Q89" i="76"/>
  <c r="N89" i="76"/>
  <c r="K90" i="76"/>
  <c r="H90" i="76"/>
  <c r="K89" i="76"/>
  <c r="M89" i="76" s="1"/>
  <c r="H89" i="76"/>
  <c r="Q124" i="76"/>
  <c r="N124" i="76"/>
  <c r="Q123" i="76"/>
  <c r="S123" i="76" s="1"/>
  <c r="N123" i="76"/>
  <c r="K123" i="76"/>
  <c r="H123" i="76"/>
  <c r="K124" i="76"/>
  <c r="M124" i="76" s="1"/>
  <c r="H124" i="76"/>
  <c r="Q122" i="76"/>
  <c r="N122" i="76"/>
  <c r="Q121" i="76"/>
  <c r="N121" i="76"/>
  <c r="K122" i="76"/>
  <c r="H122" i="76"/>
  <c r="K121" i="76"/>
  <c r="H121" i="76"/>
  <c r="Q104" i="76"/>
  <c r="N104" i="76"/>
  <c r="Q103" i="76"/>
  <c r="N103" i="76"/>
  <c r="K103" i="76"/>
  <c r="M103" i="76" s="1"/>
  <c r="H103" i="76"/>
  <c r="K104" i="76"/>
  <c r="H104" i="76"/>
  <c r="Q88" i="76"/>
  <c r="S88" i="76" s="1"/>
  <c r="N88" i="76"/>
  <c r="Q87" i="76"/>
  <c r="N87" i="76"/>
  <c r="K87" i="76"/>
  <c r="K88" i="76"/>
  <c r="H88" i="76"/>
  <c r="H87" i="76"/>
  <c r="Q114" i="76"/>
  <c r="S114" i="76" s="1"/>
  <c r="N114" i="76"/>
  <c r="Q113" i="76"/>
  <c r="N113" i="76"/>
  <c r="K114" i="76"/>
  <c r="M114" i="76" s="1"/>
  <c r="H114" i="76"/>
  <c r="K113" i="76"/>
  <c r="H113" i="76"/>
  <c r="Q126" i="76"/>
  <c r="N126" i="76"/>
  <c r="Q125" i="76"/>
  <c r="N125" i="76"/>
  <c r="K126" i="76"/>
  <c r="H126" i="76"/>
  <c r="K125" i="76"/>
  <c r="H125" i="76"/>
  <c r="Q102" i="76"/>
  <c r="Q101" i="76"/>
  <c r="N101" i="76"/>
  <c r="P101" i="76" s="1"/>
  <c r="N102" i="76"/>
  <c r="K102" i="76"/>
  <c r="H102" i="76"/>
  <c r="K101" i="76"/>
  <c r="H101" i="76"/>
  <c r="Q118" i="76"/>
  <c r="S118" i="76" s="1"/>
  <c r="N118" i="76"/>
  <c r="Q117" i="76"/>
  <c r="N117" i="76"/>
  <c r="K118" i="76"/>
  <c r="H118" i="76"/>
  <c r="K117" i="76"/>
  <c r="H117" i="76"/>
  <c r="Q94" i="76"/>
  <c r="Q93" i="76"/>
  <c r="S93" i="76" s="1"/>
  <c r="N93" i="76"/>
  <c r="N94" i="76"/>
  <c r="K94" i="76"/>
  <c r="M94" i="76" s="1"/>
  <c r="H94" i="76"/>
  <c r="K93" i="76"/>
  <c r="M93" i="76" s="1"/>
  <c r="H93" i="76"/>
  <c r="Q100" i="76"/>
  <c r="N100" i="76"/>
  <c r="Q99" i="76"/>
  <c r="N99" i="76"/>
  <c r="K99" i="76"/>
  <c r="M99" i="76" s="1"/>
  <c r="K100" i="76"/>
  <c r="M100" i="76" s="1"/>
  <c r="H100" i="76"/>
  <c r="H99" i="76"/>
  <c r="Q84" i="76"/>
  <c r="N84" i="76"/>
  <c r="P84" i="76" s="1"/>
  <c r="Q83" i="76"/>
  <c r="N83" i="76"/>
  <c r="K83" i="76"/>
  <c r="M83" i="76" s="1"/>
  <c r="H83" i="76"/>
  <c r="K84" i="76"/>
  <c r="H84" i="76"/>
  <c r="Q86" i="76"/>
  <c r="Q85" i="76"/>
  <c r="S85" i="76" s="1"/>
  <c r="N85" i="76"/>
  <c r="N86" i="76"/>
  <c r="K86" i="76"/>
  <c r="M86" i="76" s="1"/>
  <c r="H86" i="76"/>
  <c r="K85" i="76"/>
  <c r="H85" i="76"/>
  <c r="Q116" i="76"/>
  <c r="N116" i="76"/>
  <c r="Q115" i="76"/>
  <c r="N115" i="76"/>
  <c r="K115" i="76"/>
  <c r="K116" i="76"/>
  <c r="M116" i="76" s="1"/>
  <c r="H116" i="76"/>
  <c r="H115" i="76"/>
  <c r="Q98" i="76"/>
  <c r="N98" i="76"/>
  <c r="P98" i="76" s="1"/>
  <c r="Q97" i="76"/>
  <c r="S97" i="76" s="1"/>
  <c r="N97" i="76"/>
  <c r="K98" i="76"/>
  <c r="H98" i="76"/>
  <c r="J98" i="76" s="1"/>
  <c r="K97" i="76"/>
  <c r="M97" i="76" s="1"/>
  <c r="H97" i="76"/>
  <c r="Q108" i="76"/>
  <c r="N108" i="76"/>
  <c r="P108" i="76" s="1"/>
  <c r="Q107" i="76"/>
  <c r="N107" i="76"/>
  <c r="K107" i="76"/>
  <c r="M107" i="76" s="1"/>
  <c r="K108" i="76"/>
  <c r="M108" i="76" s="1"/>
  <c r="H108" i="76"/>
  <c r="J108" i="76" s="1"/>
  <c r="H107" i="76"/>
  <c r="Q106" i="76"/>
  <c r="N106" i="76"/>
  <c r="Q105" i="76"/>
  <c r="S105" i="76" s="1"/>
  <c r="N105" i="76"/>
  <c r="K106" i="76"/>
  <c r="H106" i="76"/>
  <c r="K105" i="76"/>
  <c r="H105" i="76"/>
  <c r="Q112" i="76"/>
  <c r="N112" i="76"/>
  <c r="Q111" i="76"/>
  <c r="N111" i="76"/>
  <c r="K111" i="76"/>
  <c r="H111" i="76"/>
  <c r="K112" i="76"/>
  <c r="M112" i="76" s="1"/>
  <c r="H112" i="76"/>
  <c r="Q120" i="76"/>
  <c r="N120" i="76"/>
  <c r="Q119" i="76"/>
  <c r="S119" i="76" s="1"/>
  <c r="N119" i="76"/>
  <c r="K119" i="76"/>
  <c r="K120" i="76"/>
  <c r="H120" i="76"/>
  <c r="H119" i="76"/>
  <c r="S108" i="76"/>
  <c r="S116" i="76"/>
  <c r="P111" i="79"/>
  <c r="E41" i="79"/>
  <c r="E41" i="77"/>
  <c r="E25" i="79"/>
  <c r="E25" i="77"/>
  <c r="E54" i="79"/>
  <c r="E54" i="77"/>
  <c r="E13" i="79"/>
  <c r="E13" i="77"/>
  <c r="E23" i="77"/>
  <c r="E23" i="79"/>
  <c r="E17" i="79"/>
  <c r="E17" i="77"/>
  <c r="E7" i="77"/>
  <c r="E7" i="79"/>
  <c r="E39" i="77"/>
  <c r="E39" i="79"/>
  <c r="E11" i="77"/>
  <c r="E11" i="79"/>
  <c r="E46" i="79"/>
  <c r="E46" i="77"/>
  <c r="E33" i="79"/>
  <c r="E33" i="77"/>
  <c r="E29" i="79"/>
  <c r="E29" i="77"/>
  <c r="E35" i="77"/>
  <c r="E35" i="79"/>
  <c r="E31" i="77"/>
  <c r="E31" i="79"/>
  <c r="E16" i="77"/>
  <c r="E16" i="79"/>
  <c r="E49" i="79"/>
  <c r="E49" i="77"/>
  <c r="E47" i="77"/>
  <c r="E47" i="79"/>
  <c r="J105" i="79"/>
  <c r="E38" i="79"/>
  <c r="E38" i="77"/>
  <c r="E9" i="79"/>
  <c r="E9" i="77"/>
  <c r="E21" i="79"/>
  <c r="E21" i="77"/>
  <c r="E51" i="77"/>
  <c r="E51" i="79"/>
  <c r="P123" i="76"/>
  <c r="P118" i="76"/>
  <c r="S89" i="76"/>
  <c r="M112" i="79"/>
  <c r="J93" i="79"/>
  <c r="J103" i="76"/>
  <c r="J83" i="76"/>
  <c r="M99" i="79"/>
  <c r="S96" i="79"/>
  <c r="M95" i="79"/>
  <c r="E9" i="8"/>
  <c r="E9" i="9"/>
  <c r="E29" i="8"/>
  <c r="E29" i="9"/>
  <c r="E17" i="8"/>
  <c r="E17" i="9"/>
  <c r="E11" i="9"/>
  <c r="E11" i="8"/>
  <c r="E25" i="8"/>
  <c r="E25" i="9"/>
  <c r="E13" i="8"/>
  <c r="E13" i="9"/>
  <c r="E7" i="9"/>
  <c r="E7" i="8"/>
  <c r="E16" i="8"/>
  <c r="E16" i="9"/>
  <c r="P109" i="79"/>
  <c r="E23" i="9"/>
  <c r="E23" i="8"/>
  <c r="E21" i="8"/>
  <c r="E21" i="9"/>
  <c r="P124" i="76"/>
  <c r="M102" i="76"/>
  <c r="P102" i="76"/>
  <c r="S101" i="79"/>
  <c r="J95" i="76"/>
  <c r="J94" i="76"/>
  <c r="S90" i="76"/>
  <c r="M113" i="79"/>
  <c r="P117" i="76"/>
  <c r="S119" i="79"/>
  <c r="J124" i="76"/>
  <c r="P111" i="76"/>
  <c r="J121" i="79"/>
  <c r="M119" i="76"/>
  <c r="P126" i="76"/>
  <c r="J113" i="76"/>
  <c r="M113" i="76"/>
  <c r="M120" i="76"/>
  <c r="S126" i="76"/>
  <c r="P110" i="76"/>
  <c r="P109" i="76"/>
  <c r="P117" i="79"/>
  <c r="S103" i="76"/>
  <c r="P103" i="79"/>
  <c r="J100" i="76"/>
  <c r="S97" i="79"/>
  <c r="J98" i="79"/>
  <c r="P97" i="79"/>
  <c r="P123" i="79"/>
  <c r="S100" i="79"/>
  <c r="S107" i="79"/>
  <c r="P92" i="76"/>
  <c r="P87" i="76"/>
  <c r="M87" i="76"/>
  <c r="S117" i="79"/>
  <c r="S111" i="76"/>
  <c r="P115" i="76"/>
  <c r="J104" i="76"/>
  <c r="S104" i="76"/>
  <c r="J99" i="79"/>
  <c r="P107" i="79"/>
  <c r="J107" i="79"/>
  <c r="J117" i="79"/>
  <c r="M123" i="79"/>
  <c r="M100" i="79"/>
  <c r="M108" i="79"/>
  <c r="J88" i="76"/>
  <c r="J115" i="76"/>
  <c r="P97" i="76"/>
  <c r="M104" i="76"/>
  <c r="P104" i="76"/>
  <c r="S92" i="76"/>
  <c r="P106" i="76"/>
  <c r="M117" i="79"/>
  <c r="J123" i="79"/>
  <c r="S99" i="79"/>
  <c r="P99" i="79"/>
  <c r="M118" i="79"/>
  <c r="M111" i="76"/>
  <c r="P103" i="76"/>
  <c r="M88" i="76"/>
  <c r="M115" i="76"/>
  <c r="J116" i="76"/>
  <c r="J113" i="79"/>
  <c r="M125" i="79"/>
  <c r="P119" i="79"/>
  <c r="P94" i="79"/>
  <c r="S104" i="79"/>
  <c r="P100" i="79"/>
  <c r="S106" i="76"/>
  <c r="S115" i="76"/>
  <c r="P116" i="76"/>
  <c r="J94" i="79"/>
  <c r="M96" i="79"/>
  <c r="M109" i="79"/>
  <c r="S113" i="79"/>
  <c r="J119" i="79"/>
  <c r="S82" i="79"/>
  <c r="P82" i="79"/>
  <c r="S93" i="79"/>
  <c r="P93" i="79"/>
  <c r="M101" i="79"/>
  <c r="N125" i="79"/>
  <c r="P125" i="79" s="1"/>
  <c r="M114" i="79"/>
  <c r="S125" i="79"/>
  <c r="J118" i="76"/>
  <c r="J117" i="76"/>
  <c r="P100" i="76"/>
  <c r="P107" i="76"/>
  <c r="S83" i="76"/>
  <c r="M117" i="76"/>
  <c r="J87" i="76"/>
  <c r="S95" i="79"/>
  <c r="P95" i="79"/>
  <c r="J109" i="79"/>
  <c r="P113" i="79"/>
  <c r="M119" i="79"/>
  <c r="P81" i="79"/>
  <c r="M94" i="79"/>
  <c r="J100" i="79"/>
  <c r="M110" i="79"/>
  <c r="M120" i="79"/>
  <c r="J123" i="76"/>
  <c r="M118" i="76"/>
  <c r="S100" i="76"/>
  <c r="S107" i="76"/>
  <c r="P83" i="76"/>
  <c r="P96" i="79"/>
  <c r="J95" i="79"/>
  <c r="S94" i="79"/>
  <c r="M93" i="79"/>
  <c r="S124" i="76"/>
  <c r="M123" i="76"/>
  <c r="S99" i="76"/>
  <c r="J107" i="76"/>
  <c r="M84" i="76"/>
  <c r="S111" i="79"/>
  <c r="S121" i="76"/>
  <c r="S103" i="79"/>
  <c r="M111" i="79"/>
  <c r="M103" i="79"/>
  <c r="M106" i="76"/>
  <c r="M105" i="76"/>
  <c r="J97" i="76"/>
  <c r="M122" i="76"/>
  <c r="J122" i="76"/>
  <c r="J92" i="76"/>
  <c r="P86" i="76"/>
  <c r="P85" i="76"/>
  <c r="M126" i="76"/>
  <c r="P105" i="79"/>
  <c r="M122" i="79"/>
  <c r="P120" i="76"/>
  <c r="J96" i="79"/>
  <c r="J85" i="76"/>
  <c r="J81" i="79"/>
  <c r="J111" i="79"/>
  <c r="J103" i="79"/>
  <c r="J106" i="76"/>
  <c r="M91" i="76"/>
  <c r="J121" i="76"/>
  <c r="M121" i="76"/>
  <c r="M92" i="76"/>
  <c r="S86" i="76"/>
  <c r="S79" i="79"/>
  <c r="S109" i="79"/>
  <c r="J82" i="79"/>
  <c r="P121" i="76"/>
  <c r="S91" i="76"/>
  <c r="J86" i="76"/>
  <c r="S105" i="79"/>
  <c r="S121" i="79"/>
  <c r="S123" i="79"/>
  <c r="M81" i="79"/>
  <c r="P98" i="79"/>
  <c r="J97" i="79"/>
  <c r="S117" i="76"/>
  <c r="M109" i="76"/>
  <c r="P119" i="76"/>
  <c r="P114" i="76"/>
  <c r="J96" i="76"/>
  <c r="M125" i="76"/>
  <c r="J125" i="76"/>
  <c r="S109" i="76"/>
  <c r="S122" i="76"/>
  <c r="P122" i="76"/>
  <c r="S113" i="76"/>
  <c r="M110" i="76"/>
  <c r="J90" i="76"/>
  <c r="S96" i="76"/>
  <c r="J93" i="76"/>
  <c r="M95" i="76"/>
  <c r="P96" i="76"/>
  <c r="J84" i="76"/>
  <c r="S102" i="76"/>
  <c r="M105" i="79"/>
  <c r="M107" i="79"/>
  <c r="M121" i="79"/>
  <c r="P101" i="79"/>
  <c r="M98" i="79"/>
  <c r="M106" i="79"/>
  <c r="S101" i="76"/>
  <c r="J119" i="76"/>
  <c r="J111" i="76"/>
  <c r="P113" i="76"/>
  <c r="S125" i="76"/>
  <c r="P125" i="76"/>
  <c r="J114" i="76"/>
  <c r="S110" i="76"/>
  <c r="P94" i="76"/>
  <c r="P89" i="76"/>
  <c r="P93" i="76"/>
  <c r="P95" i="76"/>
  <c r="M96" i="76"/>
  <c r="P121" i="79"/>
  <c r="J101" i="79"/>
  <c r="S98" i="79"/>
  <c r="M97" i="79"/>
  <c r="M101" i="76"/>
  <c r="J101" i="76"/>
  <c r="J126" i="76"/>
  <c r="J110" i="76"/>
  <c r="J109" i="76"/>
  <c r="S94" i="76"/>
  <c r="S95" i="76"/>
  <c r="J102" i="76"/>
  <c r="S110" i="79"/>
  <c r="P110" i="79"/>
  <c r="J110" i="79"/>
  <c r="P99" i="76"/>
  <c r="J99" i="76"/>
  <c r="M79" i="79"/>
  <c r="J79" i="79"/>
  <c r="S80" i="79"/>
  <c r="P79" i="79"/>
  <c r="M80" i="79"/>
  <c r="J80" i="79"/>
  <c r="P80" i="79"/>
  <c r="S114" i="79"/>
  <c r="P114" i="79"/>
  <c r="J114" i="79"/>
  <c r="J125" i="79"/>
  <c r="S126" i="79"/>
  <c r="J126" i="79"/>
  <c r="M126" i="79"/>
  <c r="N126" i="79"/>
  <c r="P126" i="79" s="1"/>
  <c r="J102" i="79"/>
  <c r="M102" i="79"/>
  <c r="P102" i="79"/>
  <c r="S102" i="79"/>
  <c r="M82" i="79"/>
  <c r="S81" i="79"/>
  <c r="S120" i="79"/>
  <c r="J120" i="79"/>
  <c r="P120" i="79"/>
  <c r="S84" i="76"/>
  <c r="G79" i="76"/>
  <c r="S106" i="79"/>
  <c r="P106" i="79"/>
  <c r="J106" i="79"/>
  <c r="M90" i="76"/>
  <c r="J89" i="76"/>
  <c r="P90" i="76"/>
  <c r="G81" i="76"/>
  <c r="S122" i="79"/>
  <c r="P122" i="79"/>
  <c r="J122" i="79"/>
  <c r="S120" i="76"/>
  <c r="J120" i="76"/>
  <c r="S112" i="79"/>
  <c r="J112" i="79"/>
  <c r="P112" i="79"/>
  <c r="P91" i="76"/>
  <c r="J91" i="76"/>
  <c r="S98" i="76"/>
  <c r="M98" i="76"/>
  <c r="M85" i="76"/>
  <c r="J105" i="76"/>
  <c r="P105" i="76"/>
  <c r="J104" i="79"/>
  <c r="M104" i="79"/>
  <c r="P104" i="79"/>
  <c r="S112" i="76"/>
  <c r="P112" i="76"/>
  <c r="J112" i="76"/>
  <c r="P88" i="76"/>
  <c r="S87" i="76"/>
  <c r="S108" i="79"/>
  <c r="J108" i="79"/>
  <c r="P108" i="79"/>
  <c r="S124" i="79"/>
  <c r="J124" i="79"/>
  <c r="M124" i="79"/>
  <c r="P124" i="79"/>
  <c r="S118" i="79"/>
  <c r="P118" i="79"/>
  <c r="J118" i="79"/>
  <c r="J90" i="79"/>
  <c r="P90" i="79"/>
  <c r="J89" i="79"/>
  <c r="P89" i="79"/>
  <c r="M89" i="79"/>
  <c r="S90" i="79"/>
  <c r="M90" i="79"/>
  <c r="S89" i="79"/>
  <c r="J84" i="79"/>
  <c r="P84" i="79"/>
  <c r="J83" i="79"/>
  <c r="P83" i="79"/>
  <c r="M83" i="79"/>
  <c r="S84" i="79"/>
  <c r="M84" i="79"/>
  <c r="S83" i="79"/>
  <c r="J86" i="79"/>
  <c r="P86" i="79"/>
  <c r="J85" i="79"/>
  <c r="P85" i="79"/>
  <c r="M85" i="79"/>
  <c r="S86" i="79"/>
  <c r="S85" i="79"/>
  <c r="M86" i="79"/>
  <c r="J88" i="79"/>
  <c r="P88" i="79"/>
  <c r="J87" i="79"/>
  <c r="P87" i="79"/>
  <c r="M87" i="79"/>
  <c r="S88" i="79"/>
  <c r="S87" i="79"/>
  <c r="M88" i="79"/>
  <c r="Q80" i="76" l="1"/>
  <c r="S80" i="76" s="1"/>
  <c r="N80" i="76"/>
  <c r="P80" i="76" s="1"/>
  <c r="Q79" i="76"/>
  <c r="N79" i="76"/>
  <c r="K79" i="76"/>
  <c r="M79" i="76" s="1"/>
  <c r="K80" i="76"/>
  <c r="M80" i="76" s="1"/>
  <c r="H80" i="76"/>
  <c r="J80" i="76" s="1"/>
  <c r="H79" i="76"/>
  <c r="Q82" i="76"/>
  <c r="S82" i="76" s="1"/>
  <c r="N82" i="76"/>
  <c r="P82" i="76" s="1"/>
  <c r="Q81" i="76"/>
  <c r="N81" i="76"/>
  <c r="K82" i="76"/>
  <c r="M82" i="76" s="1"/>
  <c r="H82" i="76"/>
  <c r="J82" i="76" s="1"/>
  <c r="K81" i="76"/>
  <c r="H81" i="76"/>
  <c r="T103" i="76"/>
  <c r="V103" i="76" s="1"/>
  <c r="P81" i="76"/>
  <c r="M81" i="76"/>
  <c r="S81" i="76"/>
  <c r="P79" i="76"/>
  <c r="J79" i="76"/>
  <c r="S79" i="76"/>
  <c r="J81" i="76"/>
  <c r="T79" i="76" l="1"/>
  <c r="V79" i="76" s="1"/>
  <c r="D22" i="72" l="1"/>
  <c r="H22" i="72" s="1"/>
  <c r="C22" i="72"/>
  <c r="D20" i="72"/>
  <c r="H20" i="72" s="1"/>
  <c r="C20" i="72"/>
  <c r="D18" i="72"/>
  <c r="H18" i="72" s="1"/>
  <c r="C18" i="72"/>
  <c r="D16" i="72"/>
  <c r="H16" i="72" s="1"/>
  <c r="C16" i="72"/>
  <c r="D14" i="72"/>
  <c r="H14" i="72" s="1"/>
  <c r="C14" i="72"/>
  <c r="D11" i="72"/>
  <c r="H11" i="72" s="1"/>
  <c r="C11" i="72"/>
  <c r="D9" i="72"/>
  <c r="H9" i="72" s="1"/>
  <c r="C9" i="72"/>
  <c r="D7" i="72"/>
  <c r="H7" i="72" s="1"/>
  <c r="C7" i="72"/>
  <c r="D22" i="71"/>
  <c r="C22" i="71"/>
  <c r="D20" i="71"/>
  <c r="C20" i="71"/>
  <c r="D18" i="71"/>
  <c r="C18" i="71"/>
  <c r="D16" i="71"/>
  <c r="C16" i="71"/>
  <c r="D14" i="71"/>
  <c r="C14" i="71"/>
  <c r="C24" i="71" s="1"/>
  <c r="D11" i="71"/>
  <c r="C11" i="71"/>
  <c r="D9" i="71"/>
  <c r="C9" i="71"/>
  <c r="D7" i="71"/>
  <c r="C7" i="71"/>
  <c r="C24" i="72" l="1"/>
  <c r="C13" i="72"/>
  <c r="C13" i="71"/>
  <c r="I18" i="72"/>
  <c r="H9" i="71"/>
  <c r="H18" i="71"/>
  <c r="H14" i="71"/>
  <c r="H22" i="71"/>
  <c r="H7" i="71"/>
  <c r="H11" i="71"/>
  <c r="H16" i="71"/>
  <c r="H20" i="71"/>
  <c r="I9" i="72"/>
  <c r="I16" i="72"/>
  <c r="I20" i="72"/>
  <c r="I14" i="72"/>
  <c r="I22" i="72"/>
  <c r="I7" i="72"/>
  <c r="I11" i="72"/>
  <c r="I24" i="72" l="1"/>
  <c r="G12" i="42" s="1"/>
  <c r="I13" i="72"/>
  <c r="F12" i="42" s="1"/>
  <c r="H13" i="71"/>
  <c r="F11" i="42" s="1"/>
  <c r="H24" i="71"/>
  <c r="G11" i="42" s="1"/>
  <c r="H12" i="42" l="1"/>
  <c r="H11" i="42"/>
  <c r="E9" i="70"/>
  <c r="E10" i="70"/>
  <c r="G10" i="70" s="1"/>
  <c r="H10" i="70" s="1"/>
  <c r="J10" i="70" s="1"/>
  <c r="M10" i="70"/>
  <c r="N10" i="70" s="1"/>
  <c r="P10" i="70" s="1"/>
  <c r="M9" i="70"/>
  <c r="N9" i="70" s="1"/>
  <c r="P9" i="70" s="1"/>
  <c r="G28" i="42" l="1"/>
  <c r="G9" i="70"/>
  <c r="H9" i="70" s="1"/>
  <c r="J9" i="70" s="1"/>
  <c r="F28" i="42" s="1"/>
  <c r="Q103" i="4"/>
  <c r="Q79" i="4"/>
  <c r="Q55" i="4"/>
  <c r="Q31" i="4"/>
  <c r="Q7" i="4"/>
  <c r="V7" i="4" s="1"/>
  <c r="G15" i="68"/>
  <c r="D15" i="68"/>
  <c r="C15" i="68"/>
  <c r="G14" i="68"/>
  <c r="D14" i="68"/>
  <c r="C14" i="68"/>
  <c r="G13" i="68"/>
  <c r="D13" i="68"/>
  <c r="C13" i="68"/>
  <c r="G12" i="68"/>
  <c r="D12" i="68"/>
  <c r="C12" i="68"/>
  <c r="G11" i="68"/>
  <c r="D11" i="68"/>
  <c r="C11" i="68"/>
  <c r="G9" i="68"/>
  <c r="D9" i="68"/>
  <c r="C9" i="68"/>
  <c r="G8" i="68"/>
  <c r="D8" i="68"/>
  <c r="C8" i="68"/>
  <c r="G7" i="68"/>
  <c r="D7" i="68"/>
  <c r="C7" i="68"/>
  <c r="D15" i="65"/>
  <c r="C15" i="65"/>
  <c r="D14" i="65"/>
  <c r="C14" i="65"/>
  <c r="D13" i="65"/>
  <c r="C13" i="65"/>
  <c r="D12" i="65"/>
  <c r="C12" i="65"/>
  <c r="D11" i="65"/>
  <c r="C11" i="65"/>
  <c r="D9" i="65"/>
  <c r="C9" i="65"/>
  <c r="D8" i="65"/>
  <c r="C8" i="65"/>
  <c r="D7" i="65"/>
  <c r="C7" i="65"/>
  <c r="D15" i="64"/>
  <c r="C15" i="64"/>
  <c r="D14" i="64"/>
  <c r="C14" i="64"/>
  <c r="D13" i="64"/>
  <c r="C13" i="64"/>
  <c r="D12" i="64"/>
  <c r="C12" i="64"/>
  <c r="D11" i="64"/>
  <c r="C11" i="64"/>
  <c r="D9" i="64"/>
  <c r="C9" i="64"/>
  <c r="D8" i="64"/>
  <c r="C8" i="64"/>
  <c r="D7" i="64"/>
  <c r="C7" i="64"/>
  <c r="D36" i="63"/>
  <c r="C36" i="63"/>
  <c r="D35" i="63"/>
  <c r="C35" i="63"/>
  <c r="D34" i="63"/>
  <c r="C34" i="63"/>
  <c r="D33" i="63"/>
  <c r="C33" i="63"/>
  <c r="D32" i="63"/>
  <c r="C32" i="63"/>
  <c r="D30" i="63"/>
  <c r="C30" i="63"/>
  <c r="D29" i="63"/>
  <c r="C29" i="63"/>
  <c r="D28" i="63"/>
  <c r="C28" i="63"/>
  <c r="D16" i="63"/>
  <c r="C16" i="63"/>
  <c r="D15" i="63"/>
  <c r="C15" i="63"/>
  <c r="D14" i="63"/>
  <c r="C14" i="63"/>
  <c r="D13" i="63"/>
  <c r="C13" i="63"/>
  <c r="D12" i="63"/>
  <c r="C12" i="63"/>
  <c r="D10" i="63"/>
  <c r="C10" i="63"/>
  <c r="D9" i="63"/>
  <c r="C9" i="63"/>
  <c r="C8" i="63"/>
  <c r="D36" i="62"/>
  <c r="C36" i="62"/>
  <c r="D35" i="62"/>
  <c r="C35" i="62"/>
  <c r="D34" i="62"/>
  <c r="C34" i="62"/>
  <c r="D33" i="62"/>
  <c r="C33" i="62"/>
  <c r="D32" i="62"/>
  <c r="C32" i="62"/>
  <c r="D30" i="62"/>
  <c r="C30" i="62"/>
  <c r="D29" i="62"/>
  <c r="C29" i="62"/>
  <c r="D28" i="62"/>
  <c r="C28" i="62"/>
  <c r="D16" i="62"/>
  <c r="C16" i="62"/>
  <c r="D15" i="62"/>
  <c r="C15" i="62"/>
  <c r="D14" i="62"/>
  <c r="C14" i="62"/>
  <c r="D13" i="62"/>
  <c r="C13" i="62"/>
  <c r="D12" i="62"/>
  <c r="C12" i="62"/>
  <c r="D10" i="62"/>
  <c r="C10" i="62"/>
  <c r="D9" i="62"/>
  <c r="C9" i="62"/>
  <c r="D8" i="62"/>
  <c r="C8" i="62"/>
  <c r="D15" i="58"/>
  <c r="C15" i="58"/>
  <c r="H15" i="58" s="1"/>
  <c r="D14" i="58"/>
  <c r="C14" i="58"/>
  <c r="H14" i="58" s="1"/>
  <c r="D13" i="58"/>
  <c r="C13" i="58"/>
  <c r="H13" i="58" s="1"/>
  <c r="D12" i="58"/>
  <c r="C12" i="58"/>
  <c r="D11" i="58"/>
  <c r="C11" i="58"/>
  <c r="D9" i="58"/>
  <c r="C9" i="58"/>
  <c r="H9" i="58" s="1"/>
  <c r="D8" i="58"/>
  <c r="C8" i="58"/>
  <c r="H8" i="58" s="1"/>
  <c r="D7" i="58"/>
  <c r="C7" i="58"/>
  <c r="H7" i="58" s="1"/>
  <c r="D15" i="55"/>
  <c r="C15" i="55"/>
  <c r="D14" i="55"/>
  <c r="C14" i="55"/>
  <c r="D13" i="55"/>
  <c r="C13" i="55"/>
  <c r="D12" i="55"/>
  <c r="C12" i="55"/>
  <c r="D11" i="55"/>
  <c r="C11" i="55"/>
  <c r="D9" i="55"/>
  <c r="C9" i="55"/>
  <c r="D8" i="55"/>
  <c r="C8" i="55"/>
  <c r="D7" i="55"/>
  <c r="C7" i="55"/>
  <c r="D15" i="54"/>
  <c r="C15" i="54"/>
  <c r="D14" i="54"/>
  <c r="C14" i="54"/>
  <c r="D13" i="54"/>
  <c r="C13" i="54"/>
  <c r="D12" i="54"/>
  <c r="C12" i="54"/>
  <c r="D11" i="54"/>
  <c r="C11" i="54"/>
  <c r="D9" i="54"/>
  <c r="C9" i="54"/>
  <c r="D8" i="54"/>
  <c r="C8" i="54"/>
  <c r="D7" i="54"/>
  <c r="C7" i="54"/>
  <c r="H12" i="58" l="1"/>
  <c r="C16" i="64"/>
  <c r="C16" i="65"/>
  <c r="I9" i="54"/>
  <c r="I12" i="54"/>
  <c r="I14" i="54"/>
  <c r="I8" i="54"/>
  <c r="I11" i="54"/>
  <c r="I13" i="54"/>
  <c r="I15" i="54"/>
  <c r="I8" i="55"/>
  <c r="I13" i="55"/>
  <c r="I15" i="55"/>
  <c r="I7" i="64"/>
  <c r="C10" i="54"/>
  <c r="I7" i="54"/>
  <c r="C10" i="68"/>
  <c r="C17" i="62"/>
  <c r="C37" i="62"/>
  <c r="H11" i="68"/>
  <c r="C16" i="68"/>
  <c r="H15" i="68"/>
  <c r="C10" i="65"/>
  <c r="I7" i="55"/>
  <c r="I9" i="55"/>
  <c r="I12" i="55"/>
  <c r="I14" i="55"/>
  <c r="C16" i="55"/>
  <c r="I11" i="55"/>
  <c r="C10" i="55"/>
  <c r="C10" i="64"/>
  <c r="C16" i="54"/>
  <c r="C10" i="58"/>
  <c r="H10" i="58"/>
  <c r="F26" i="42" s="1"/>
  <c r="H11" i="58"/>
  <c r="C16" i="58"/>
  <c r="C11" i="62"/>
  <c r="C31" i="62"/>
  <c r="G9" i="63"/>
  <c r="I9" i="63" s="1"/>
  <c r="G12" i="63"/>
  <c r="I12" i="63" s="1"/>
  <c r="C17" i="63"/>
  <c r="G14" i="63"/>
  <c r="I14" i="63" s="1"/>
  <c r="G16" i="63"/>
  <c r="I16" i="63" s="1"/>
  <c r="G29" i="63"/>
  <c r="J29" i="63" s="1"/>
  <c r="L29" i="63" s="1"/>
  <c r="G32" i="63"/>
  <c r="J32" i="63" s="1"/>
  <c r="L32" i="63" s="1"/>
  <c r="C37" i="63"/>
  <c r="G34" i="63"/>
  <c r="J34" i="63" s="1"/>
  <c r="L34" i="63" s="1"/>
  <c r="G36" i="63"/>
  <c r="J36" i="63" s="1"/>
  <c r="L36" i="63" s="1"/>
  <c r="C11" i="63"/>
  <c r="C31" i="63"/>
  <c r="H9" i="68"/>
  <c r="H14" i="68"/>
  <c r="H8" i="68"/>
  <c r="H13" i="68"/>
  <c r="H7" i="68"/>
  <c r="H12" i="68"/>
  <c r="I9" i="64"/>
  <c r="G28" i="62"/>
  <c r="J28" i="62" s="1"/>
  <c r="L28" i="62" s="1"/>
  <c r="G8" i="63"/>
  <c r="I8" i="63" s="1"/>
  <c r="G10" i="63"/>
  <c r="I10" i="63" s="1"/>
  <c r="G13" i="63"/>
  <c r="I13" i="63" s="1"/>
  <c r="G15" i="63"/>
  <c r="I15" i="63" s="1"/>
  <c r="G28" i="63"/>
  <c r="J28" i="63" s="1"/>
  <c r="L28" i="63" s="1"/>
  <c r="G30" i="63"/>
  <c r="J30" i="63" s="1"/>
  <c r="L30" i="63" s="1"/>
  <c r="G33" i="63"/>
  <c r="J33" i="63" s="1"/>
  <c r="L33" i="63" s="1"/>
  <c r="G35" i="63"/>
  <c r="J35" i="63" s="1"/>
  <c r="L35" i="63" s="1"/>
  <c r="I8" i="64"/>
  <c r="I12" i="64"/>
  <c r="I14" i="64"/>
  <c r="I7" i="65"/>
  <c r="I9" i="65"/>
  <c r="I12" i="65"/>
  <c r="I14" i="65"/>
  <c r="I11" i="64"/>
  <c r="I13" i="64"/>
  <c r="I15" i="64"/>
  <c r="I8" i="65"/>
  <c r="I11" i="65"/>
  <c r="I13" i="65"/>
  <c r="I15" i="65"/>
  <c r="G8" i="62"/>
  <c r="I8" i="62" s="1"/>
  <c r="G9" i="62"/>
  <c r="I9" i="62" s="1"/>
  <c r="G10" i="62"/>
  <c r="I10" i="62" s="1"/>
  <c r="G12" i="62"/>
  <c r="I12" i="62" s="1"/>
  <c r="G13" i="62"/>
  <c r="I13" i="62" s="1"/>
  <c r="G14" i="62"/>
  <c r="I14" i="62" s="1"/>
  <c r="G15" i="62"/>
  <c r="I15" i="62" s="1"/>
  <c r="G16" i="62"/>
  <c r="I16" i="62" s="1"/>
  <c r="G29" i="62"/>
  <c r="J29" i="62" s="1"/>
  <c r="L29" i="62" s="1"/>
  <c r="G30" i="62"/>
  <c r="J30" i="62" s="1"/>
  <c r="L30" i="62" s="1"/>
  <c r="G33" i="62"/>
  <c r="J33" i="62" s="1"/>
  <c r="L33" i="62" s="1"/>
  <c r="G35" i="62"/>
  <c r="J35" i="62" s="1"/>
  <c r="L35" i="62" s="1"/>
  <c r="G32" i="62"/>
  <c r="G34" i="62"/>
  <c r="J34" i="62" s="1"/>
  <c r="L34" i="62" s="1"/>
  <c r="G36" i="62"/>
  <c r="J36" i="62" s="1"/>
  <c r="L36" i="62" s="1"/>
  <c r="D38" i="53"/>
  <c r="D37" i="53"/>
  <c r="D36" i="53"/>
  <c r="D35" i="53"/>
  <c r="D34" i="53"/>
  <c r="D32" i="53"/>
  <c r="D31" i="53"/>
  <c r="D30" i="53"/>
  <c r="D13" i="53"/>
  <c r="C35" i="53"/>
  <c r="C36" i="53"/>
  <c r="C37" i="53"/>
  <c r="C38" i="53"/>
  <c r="K38" i="53" s="1"/>
  <c r="C34" i="53"/>
  <c r="C12" i="53"/>
  <c r="C31" i="53"/>
  <c r="C32" i="53"/>
  <c r="C30" i="53"/>
  <c r="E38" i="53"/>
  <c r="H38" i="53" s="1"/>
  <c r="E37" i="53"/>
  <c r="H37" i="53" s="1"/>
  <c r="E36" i="53"/>
  <c r="H36" i="53" s="1"/>
  <c r="E35" i="53"/>
  <c r="H35" i="53" s="1"/>
  <c r="E34" i="53"/>
  <c r="H34" i="53" s="1"/>
  <c r="E32" i="53"/>
  <c r="H32" i="53" s="1"/>
  <c r="E31" i="53"/>
  <c r="H31" i="53" s="1"/>
  <c r="E30" i="53"/>
  <c r="H30" i="53" s="1"/>
  <c r="E13" i="53"/>
  <c r="H13" i="53" s="1"/>
  <c r="E9" i="53"/>
  <c r="H9" i="53" s="1"/>
  <c r="E16" i="53"/>
  <c r="H16" i="53" s="1"/>
  <c r="E15" i="53"/>
  <c r="H15" i="53" s="1"/>
  <c r="E14" i="53"/>
  <c r="H14" i="53" s="1"/>
  <c r="E12" i="53"/>
  <c r="H12" i="53" s="1"/>
  <c r="E10" i="53"/>
  <c r="H10" i="53" s="1"/>
  <c r="E8" i="53"/>
  <c r="H8" i="53" s="1"/>
  <c r="D16" i="53"/>
  <c r="D15" i="53"/>
  <c r="D14" i="53"/>
  <c r="D12" i="53"/>
  <c r="D8" i="53"/>
  <c r="J8" i="53" s="1"/>
  <c r="D10" i="53"/>
  <c r="D9" i="53"/>
  <c r="C16" i="53"/>
  <c r="C15" i="53"/>
  <c r="C14" i="53"/>
  <c r="J14" i="53" s="1"/>
  <c r="C13" i="53"/>
  <c r="J13" i="53" s="1"/>
  <c r="C10" i="53"/>
  <c r="C9" i="53"/>
  <c r="J9" i="53" l="1"/>
  <c r="L9" i="53" s="1"/>
  <c r="J15" i="53"/>
  <c r="L15" i="53" s="1"/>
  <c r="L13" i="53"/>
  <c r="J12" i="53"/>
  <c r="L12" i="53" s="1"/>
  <c r="L14" i="53"/>
  <c r="J10" i="53"/>
  <c r="L10" i="53" s="1"/>
  <c r="J16" i="53"/>
  <c r="L16" i="53" s="1"/>
  <c r="L8" i="53"/>
  <c r="H16" i="58"/>
  <c r="G26" i="42" s="1"/>
  <c r="H16" i="68"/>
  <c r="G27" i="42" s="1"/>
  <c r="C33" i="53"/>
  <c r="C11" i="53"/>
  <c r="C17" i="53"/>
  <c r="C39" i="53"/>
  <c r="H10" i="68"/>
  <c r="F27" i="42" s="1"/>
  <c r="K36" i="53"/>
  <c r="M36" i="53" s="1"/>
  <c r="L31" i="63"/>
  <c r="I11" i="63"/>
  <c r="I10" i="64"/>
  <c r="F17" i="42" s="1"/>
  <c r="K32" i="53"/>
  <c r="M32" i="53" s="1"/>
  <c r="L31" i="62"/>
  <c r="L37" i="63"/>
  <c r="I17" i="63"/>
  <c r="M38" i="53"/>
  <c r="K31" i="53"/>
  <c r="M31" i="53" s="1"/>
  <c r="I10" i="55"/>
  <c r="F19" i="42" s="1"/>
  <c r="K30" i="53"/>
  <c r="M30" i="53" s="1"/>
  <c r="K35" i="53"/>
  <c r="M35" i="53" s="1"/>
  <c r="I10" i="54"/>
  <c r="F16" i="42" s="1"/>
  <c r="J32" i="62"/>
  <c r="L32" i="62" s="1"/>
  <c r="L37" i="62" s="1"/>
  <c r="K34" i="53"/>
  <c r="M34" i="53" s="1"/>
  <c r="I16" i="54"/>
  <c r="G16" i="42" s="1"/>
  <c r="I16" i="64"/>
  <c r="G17" i="42" s="1"/>
  <c r="K37" i="53"/>
  <c r="M37" i="53" s="1"/>
  <c r="I16" i="55"/>
  <c r="G19" i="42" s="1"/>
  <c r="I10" i="65"/>
  <c r="F20" i="42" s="1"/>
  <c r="I16" i="65"/>
  <c r="G20" i="42" s="1"/>
  <c r="I17" i="62"/>
  <c r="I11" i="62"/>
  <c r="F23" i="42" l="1"/>
  <c r="H17" i="42"/>
  <c r="H20" i="42"/>
  <c r="F24" i="42"/>
  <c r="G23" i="42"/>
  <c r="H19" i="42"/>
  <c r="H16" i="42"/>
  <c r="G24" i="42"/>
  <c r="L11" i="53"/>
  <c r="L17" i="53"/>
  <c r="M39" i="53"/>
  <c r="M33" i="53"/>
  <c r="C22" i="52"/>
  <c r="C20" i="52"/>
  <c r="C18" i="52"/>
  <c r="C16" i="52"/>
  <c r="C14" i="52"/>
  <c r="C11" i="52"/>
  <c r="C9" i="52"/>
  <c r="C7" i="52"/>
  <c r="D15" i="51"/>
  <c r="C15" i="51"/>
  <c r="D14" i="51"/>
  <c r="C14" i="51"/>
  <c r="D13" i="51"/>
  <c r="C13" i="51"/>
  <c r="D12" i="51"/>
  <c r="C12" i="51"/>
  <c r="D11" i="51"/>
  <c r="C11" i="51"/>
  <c r="D9" i="51"/>
  <c r="C9" i="51"/>
  <c r="D8" i="51"/>
  <c r="C8" i="51"/>
  <c r="D7" i="51"/>
  <c r="C7" i="51"/>
  <c r="D15" i="50"/>
  <c r="C15" i="50"/>
  <c r="D14" i="50"/>
  <c r="C14" i="50"/>
  <c r="D13" i="50"/>
  <c r="C13" i="50"/>
  <c r="D12" i="50"/>
  <c r="C12" i="50"/>
  <c r="D11" i="50"/>
  <c r="C11" i="50"/>
  <c r="D9" i="50"/>
  <c r="C9" i="50"/>
  <c r="D8" i="50"/>
  <c r="C8" i="50"/>
  <c r="D7" i="50"/>
  <c r="C7" i="50"/>
  <c r="G12" i="48"/>
  <c r="G15" i="48"/>
  <c r="G14" i="48"/>
  <c r="G13" i="48"/>
  <c r="G11" i="48"/>
  <c r="G9" i="48"/>
  <c r="G8" i="48"/>
  <c r="G7" i="48"/>
  <c r="D15" i="48"/>
  <c r="C15" i="48"/>
  <c r="D14" i="48"/>
  <c r="C14" i="48"/>
  <c r="D13" i="48"/>
  <c r="C13" i="48"/>
  <c r="D12" i="48"/>
  <c r="C12" i="48"/>
  <c r="D11" i="48"/>
  <c r="C11" i="48"/>
  <c r="D9" i="48"/>
  <c r="C9" i="48"/>
  <c r="D8" i="48"/>
  <c r="C8" i="48"/>
  <c r="D7" i="48"/>
  <c r="C7" i="48"/>
  <c r="G12" i="47"/>
  <c r="G8" i="47"/>
  <c r="D15" i="47"/>
  <c r="C15" i="47"/>
  <c r="D14" i="47"/>
  <c r="C14" i="47"/>
  <c r="D13" i="47"/>
  <c r="C13" i="47"/>
  <c r="D12" i="47"/>
  <c r="C12" i="47"/>
  <c r="D11" i="47"/>
  <c r="C11" i="47"/>
  <c r="D9" i="47"/>
  <c r="C9" i="47"/>
  <c r="D8" i="47"/>
  <c r="C8" i="47"/>
  <c r="D7" i="47"/>
  <c r="C7" i="47"/>
  <c r="D22" i="46"/>
  <c r="C22" i="46"/>
  <c r="D20" i="46"/>
  <c r="C20" i="46"/>
  <c r="D18" i="46"/>
  <c r="C18" i="46"/>
  <c r="D16" i="46"/>
  <c r="C16" i="46"/>
  <c r="D14" i="46"/>
  <c r="C14" i="46"/>
  <c r="D11" i="46"/>
  <c r="C11" i="46"/>
  <c r="D9" i="46"/>
  <c r="C9" i="46"/>
  <c r="D7" i="46"/>
  <c r="C7" i="46"/>
  <c r="D22" i="45"/>
  <c r="D20" i="45"/>
  <c r="D18" i="45"/>
  <c r="C22" i="45"/>
  <c r="C20" i="45"/>
  <c r="J23" i="45"/>
  <c r="J22" i="45"/>
  <c r="J21" i="45"/>
  <c r="J20" i="45"/>
  <c r="C18" i="45"/>
  <c r="C16" i="45"/>
  <c r="D16" i="45"/>
  <c r="D14" i="45"/>
  <c r="C14" i="45"/>
  <c r="J19" i="45"/>
  <c r="J18" i="45"/>
  <c r="J17" i="45"/>
  <c r="J16" i="45"/>
  <c r="J15" i="45"/>
  <c r="J14" i="45"/>
  <c r="D11" i="45"/>
  <c r="C11" i="45"/>
  <c r="J12" i="45"/>
  <c r="J11" i="45"/>
  <c r="D9" i="45"/>
  <c r="C9" i="45"/>
  <c r="J10" i="45"/>
  <c r="J9" i="45"/>
  <c r="D7" i="45"/>
  <c r="C7" i="45"/>
  <c r="J8" i="45"/>
  <c r="J7" i="45"/>
  <c r="I8" i="51" l="1"/>
  <c r="I11" i="51"/>
  <c r="I13" i="51"/>
  <c r="I15" i="51"/>
  <c r="H7" i="50"/>
  <c r="H9" i="50"/>
  <c r="H12" i="50"/>
  <c r="H14" i="50"/>
  <c r="I7" i="51"/>
  <c r="I9" i="51"/>
  <c r="I12" i="51"/>
  <c r="I14" i="51"/>
  <c r="J7" i="52"/>
  <c r="J8" i="52"/>
  <c r="J16" i="52"/>
  <c r="J17" i="52"/>
  <c r="C13" i="45"/>
  <c r="L8" i="45"/>
  <c r="L7" i="45"/>
  <c r="L15" i="45"/>
  <c r="L14" i="45"/>
  <c r="L21" i="45"/>
  <c r="L20" i="45"/>
  <c r="J10" i="52"/>
  <c r="J9" i="52"/>
  <c r="J19" i="52"/>
  <c r="J18" i="52"/>
  <c r="L12" i="45"/>
  <c r="L11" i="45"/>
  <c r="L23" i="45"/>
  <c r="L22" i="45"/>
  <c r="J11" i="52"/>
  <c r="J12" i="52"/>
  <c r="J20" i="52"/>
  <c r="J21" i="52"/>
  <c r="L10" i="45"/>
  <c r="L9" i="45"/>
  <c r="L19" i="45"/>
  <c r="L18" i="45"/>
  <c r="L17" i="45"/>
  <c r="L16" i="45"/>
  <c r="J15" i="52"/>
  <c r="J14" i="52"/>
  <c r="J23" i="52"/>
  <c r="J22" i="52"/>
  <c r="H8" i="50"/>
  <c r="H11" i="50"/>
  <c r="H13" i="50"/>
  <c r="H15" i="50"/>
  <c r="J11" i="47"/>
  <c r="J13" i="47"/>
  <c r="J15" i="47"/>
  <c r="C16" i="51"/>
  <c r="J9" i="47"/>
  <c r="J12" i="47"/>
  <c r="J14" i="47"/>
  <c r="C10" i="51"/>
  <c r="C24" i="46"/>
  <c r="J8" i="47"/>
  <c r="C10" i="48"/>
  <c r="C24" i="45"/>
  <c r="C13" i="52"/>
  <c r="C13" i="46"/>
  <c r="C10" i="47"/>
  <c r="J7" i="47"/>
  <c r="C16" i="48"/>
  <c r="C24" i="52"/>
  <c r="C16" i="50"/>
  <c r="C10" i="50"/>
  <c r="C16" i="47"/>
  <c r="H24" i="42"/>
  <c r="H23" i="42"/>
  <c r="G22" i="42"/>
  <c r="I7" i="46"/>
  <c r="I11" i="46"/>
  <c r="I16" i="46"/>
  <c r="I20" i="46"/>
  <c r="I9" i="46"/>
  <c r="I14" i="46"/>
  <c r="I18" i="46"/>
  <c r="I22" i="46"/>
  <c r="I8" i="46"/>
  <c r="I12" i="46"/>
  <c r="I17" i="46"/>
  <c r="I21" i="46"/>
  <c r="I10" i="46"/>
  <c r="I15" i="46"/>
  <c r="I19" i="46"/>
  <c r="I23" i="46"/>
  <c r="J7" i="48"/>
  <c r="J9" i="48"/>
  <c r="J12" i="48"/>
  <c r="J14" i="48"/>
  <c r="J8" i="48"/>
  <c r="J11" i="48"/>
  <c r="J13" i="48"/>
  <c r="J15" i="48"/>
  <c r="F22" i="42"/>
  <c r="H10" i="50" l="1"/>
  <c r="H22" i="42"/>
  <c r="I10" i="51"/>
  <c r="H16" i="50"/>
  <c r="J10" i="48"/>
  <c r="F18" i="42" s="1"/>
  <c r="J16" i="48"/>
  <c r="G18" i="42" s="1"/>
  <c r="L13" i="45"/>
  <c r="F13" i="42" s="1"/>
  <c r="L24" i="45"/>
  <c r="G13" i="42" s="1"/>
  <c r="J13" i="52"/>
  <c r="J24" i="52"/>
  <c r="I16" i="51"/>
  <c r="J16" i="47"/>
  <c r="G15" i="42" s="1"/>
  <c r="J10" i="47"/>
  <c r="F15" i="42" s="1"/>
  <c r="I13" i="46"/>
  <c r="F14" i="42" s="1"/>
  <c r="I24" i="46"/>
  <c r="G14" i="42" s="1"/>
  <c r="E55" i="4"/>
  <c r="J55" i="4" s="1"/>
  <c r="E31" i="4"/>
  <c r="E7" i="4"/>
  <c r="J7" i="4" s="1"/>
  <c r="H18" i="42" l="1"/>
  <c r="F25" i="42"/>
  <c r="G25" i="42"/>
  <c r="H15" i="42"/>
  <c r="H13" i="42"/>
  <c r="H14" i="42"/>
  <c r="G8" i="42"/>
  <c r="F8" i="42"/>
  <c r="H7" i="42"/>
  <c r="H5" i="42"/>
  <c r="H25" i="42" l="1"/>
  <c r="H29" i="42"/>
  <c r="H8" i="42"/>
  <c r="H28" i="42"/>
  <c r="H27" i="42" l="1"/>
  <c r="H26" i="42" l="1"/>
  <c r="C77" i="9" l="1"/>
  <c r="C75" i="9"/>
  <c r="C73" i="9"/>
  <c r="C71" i="9"/>
  <c r="C69" i="9"/>
  <c r="C67" i="9"/>
  <c r="C65" i="9"/>
  <c r="C63" i="9"/>
  <c r="C61" i="9"/>
  <c r="C59" i="9"/>
  <c r="C57" i="9"/>
  <c r="C55" i="9"/>
  <c r="C53" i="9"/>
  <c r="C51" i="9"/>
  <c r="C49" i="9"/>
  <c r="C47" i="9"/>
  <c r="C45" i="9"/>
  <c r="C43" i="9"/>
  <c r="C41" i="9"/>
  <c r="C39" i="9"/>
  <c r="C37" i="9"/>
  <c r="C35" i="9"/>
  <c r="C33" i="9"/>
  <c r="C31" i="9"/>
  <c r="C29" i="9"/>
  <c r="C27" i="9"/>
  <c r="C25" i="9"/>
  <c r="C23" i="9"/>
  <c r="C21" i="9"/>
  <c r="C19" i="9"/>
  <c r="C17" i="9"/>
  <c r="C15" i="9"/>
  <c r="C13" i="9"/>
  <c r="C11" i="9"/>
  <c r="C9" i="9"/>
  <c r="C7" i="9"/>
  <c r="C125" i="8"/>
  <c r="C123" i="8"/>
  <c r="C121" i="8"/>
  <c r="C119" i="8"/>
  <c r="C117" i="8"/>
  <c r="C115" i="8"/>
  <c r="C113" i="8"/>
  <c r="C111" i="8"/>
  <c r="C109" i="8"/>
  <c r="C107" i="8"/>
  <c r="C105" i="8"/>
  <c r="C103" i="8"/>
  <c r="C101" i="8"/>
  <c r="C99" i="8"/>
  <c r="C97" i="8"/>
  <c r="C95" i="8"/>
  <c r="C93" i="8"/>
  <c r="C91" i="8"/>
  <c r="C89" i="8"/>
  <c r="C87" i="8"/>
  <c r="C85" i="8"/>
  <c r="C83" i="8"/>
  <c r="C81" i="8"/>
  <c r="C79" i="8"/>
  <c r="C77" i="8"/>
  <c r="C75" i="8"/>
  <c r="C73" i="8"/>
  <c r="C71" i="8"/>
  <c r="C69" i="8"/>
  <c r="C67" i="8"/>
  <c r="C65" i="8"/>
  <c r="C63" i="8"/>
  <c r="C61" i="8"/>
  <c r="C59" i="8"/>
  <c r="C57" i="8"/>
  <c r="C55" i="8"/>
  <c r="C53" i="8"/>
  <c r="C51" i="8"/>
  <c r="C49" i="8"/>
  <c r="C47" i="8"/>
  <c r="C45" i="8"/>
  <c r="C43" i="8"/>
  <c r="C41" i="8"/>
  <c r="C39" i="8"/>
  <c r="C37" i="8"/>
  <c r="C35" i="8"/>
  <c r="C33" i="8"/>
  <c r="C31" i="8"/>
  <c r="C29" i="8"/>
  <c r="C27" i="8"/>
  <c r="C25" i="8"/>
  <c r="C23" i="8"/>
  <c r="C21" i="8"/>
  <c r="C19" i="8"/>
  <c r="C17" i="8"/>
  <c r="C15" i="8"/>
  <c r="C13" i="8"/>
  <c r="C11" i="8"/>
  <c r="C9" i="8"/>
  <c r="C7" i="8"/>
  <c r="C77" i="6"/>
  <c r="C75" i="6"/>
  <c r="C73" i="6"/>
  <c r="C71" i="6"/>
  <c r="C69" i="6"/>
  <c r="C67" i="6"/>
  <c r="C65" i="6"/>
  <c r="C63" i="6"/>
  <c r="C61" i="6"/>
  <c r="C59" i="6"/>
  <c r="C57" i="6"/>
  <c r="C55" i="6"/>
  <c r="C53" i="6"/>
  <c r="C51" i="6"/>
  <c r="C49" i="6"/>
  <c r="C47" i="6"/>
  <c r="C45" i="6"/>
  <c r="C43" i="6"/>
  <c r="C41" i="6"/>
  <c r="C39" i="6"/>
  <c r="C37" i="6"/>
  <c r="C35" i="6"/>
  <c r="C33" i="6"/>
  <c r="C31" i="6"/>
  <c r="C29" i="6"/>
  <c r="C27" i="6"/>
  <c r="C25" i="6"/>
  <c r="C23" i="6"/>
  <c r="C21" i="6"/>
  <c r="C19" i="6"/>
  <c r="C17" i="6"/>
  <c r="C15" i="6"/>
  <c r="C13" i="6"/>
  <c r="C11" i="6"/>
  <c r="C9" i="6"/>
  <c r="C7" i="6"/>
  <c r="C125" i="5"/>
  <c r="C123" i="5"/>
  <c r="C121" i="5"/>
  <c r="C119" i="5"/>
  <c r="C117" i="5"/>
  <c r="C115" i="5"/>
  <c r="C113" i="5"/>
  <c r="C111" i="5"/>
  <c r="C109" i="5"/>
  <c r="C107" i="5"/>
  <c r="C105" i="5"/>
  <c r="C103" i="5"/>
  <c r="C101" i="5"/>
  <c r="C99" i="5"/>
  <c r="C97" i="5"/>
  <c r="C95" i="5"/>
  <c r="C93" i="5"/>
  <c r="C91" i="5"/>
  <c r="C89" i="5"/>
  <c r="C87" i="5"/>
  <c r="C85" i="5"/>
  <c r="C83" i="5"/>
  <c r="C81" i="5"/>
  <c r="C79" i="5"/>
  <c r="C77" i="5"/>
  <c r="C75" i="5"/>
  <c r="C73" i="5"/>
  <c r="C71" i="5"/>
  <c r="C69" i="5"/>
  <c r="C67" i="5"/>
  <c r="C65" i="5"/>
  <c r="C63" i="5"/>
  <c r="C61" i="5"/>
  <c r="C59" i="5"/>
  <c r="C57" i="5"/>
  <c r="C55" i="5"/>
  <c r="C53" i="5"/>
  <c r="C51" i="5"/>
  <c r="C49" i="5"/>
  <c r="C47" i="5"/>
  <c r="C45" i="5"/>
  <c r="C43" i="5"/>
  <c r="C41" i="5"/>
  <c r="C39" i="5"/>
  <c r="C37" i="5"/>
  <c r="C35" i="5"/>
  <c r="C33" i="5"/>
  <c r="C31" i="5"/>
  <c r="C29" i="5"/>
  <c r="C27" i="5"/>
  <c r="C25" i="5"/>
  <c r="C23" i="5"/>
  <c r="C21" i="5"/>
  <c r="C19" i="5"/>
  <c r="C17" i="5"/>
  <c r="C15" i="5"/>
  <c r="C13" i="5"/>
  <c r="C11" i="5"/>
  <c r="C9" i="5"/>
  <c r="C7" i="5"/>
  <c r="E126" i="8"/>
  <c r="E124" i="8"/>
  <c r="E122" i="8"/>
  <c r="E120" i="8"/>
  <c r="E118" i="8"/>
  <c r="E114" i="8"/>
  <c r="E112" i="8"/>
  <c r="E110" i="8"/>
  <c r="E108" i="8"/>
  <c r="E106" i="8"/>
  <c r="E104" i="8"/>
  <c r="E102" i="8"/>
  <c r="E100" i="8"/>
  <c r="E98" i="8"/>
  <c r="E96" i="8"/>
  <c r="E94" i="8"/>
  <c r="E90" i="8"/>
  <c r="E88" i="8"/>
  <c r="E86" i="8"/>
  <c r="E84" i="8"/>
  <c r="E82" i="8"/>
  <c r="E80" i="8"/>
  <c r="G125" i="5"/>
  <c r="G121" i="5"/>
  <c r="G117" i="5"/>
  <c r="G113" i="5"/>
  <c r="G109" i="5"/>
  <c r="G105" i="5"/>
  <c r="G101" i="5"/>
  <c r="G97" i="5"/>
  <c r="G93" i="5"/>
  <c r="G89" i="5"/>
  <c r="G85" i="5"/>
  <c r="G81" i="5"/>
  <c r="C28" i="2"/>
  <c r="C26" i="2"/>
  <c r="C24" i="2"/>
  <c r="C22" i="2"/>
  <c r="C20" i="2"/>
  <c r="C18" i="2"/>
  <c r="C16" i="2"/>
  <c r="C14" i="2"/>
  <c r="C12" i="2"/>
  <c r="C10" i="2"/>
  <c r="C8" i="2"/>
  <c r="C6" i="2"/>
  <c r="C55" i="2"/>
  <c r="C53" i="2"/>
  <c r="C51" i="2"/>
  <c r="C49" i="2"/>
  <c r="C47" i="2"/>
  <c r="C45" i="2"/>
  <c r="C43" i="2"/>
  <c r="C41" i="2"/>
  <c r="C39" i="2"/>
  <c r="C37" i="2"/>
  <c r="C35" i="2"/>
  <c r="C33" i="2"/>
  <c r="C82" i="2"/>
  <c r="C80" i="2"/>
  <c r="C78" i="2"/>
  <c r="C76" i="2"/>
  <c r="C74" i="2"/>
  <c r="C72" i="2"/>
  <c r="C70" i="2"/>
  <c r="C68" i="2"/>
  <c r="C66" i="2"/>
  <c r="C64" i="2"/>
  <c r="C62" i="2"/>
  <c r="C60" i="2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Q86" i="5" l="1"/>
  <c r="Q85" i="5"/>
  <c r="N86" i="5"/>
  <c r="N85" i="5"/>
  <c r="H86" i="5"/>
  <c r="H85" i="5"/>
  <c r="Q102" i="5"/>
  <c r="Q101" i="5"/>
  <c r="N102" i="5"/>
  <c r="N101" i="5"/>
  <c r="H102" i="5"/>
  <c r="H101" i="5"/>
  <c r="Q90" i="5"/>
  <c r="Q89" i="5"/>
  <c r="N90" i="5"/>
  <c r="N89" i="5"/>
  <c r="H90" i="5"/>
  <c r="H89" i="5"/>
  <c r="Q106" i="5"/>
  <c r="Q105" i="5"/>
  <c r="N106" i="5"/>
  <c r="N105" i="5"/>
  <c r="H105" i="5"/>
  <c r="H106" i="5"/>
  <c r="Q122" i="5"/>
  <c r="Q121" i="5"/>
  <c r="N122" i="5"/>
  <c r="N121" i="5"/>
  <c r="H121" i="5"/>
  <c r="H122" i="5"/>
  <c r="Q110" i="5"/>
  <c r="Q109" i="5"/>
  <c r="N110" i="5"/>
  <c r="N109" i="5"/>
  <c r="H110" i="5"/>
  <c r="H109" i="5"/>
  <c r="Q94" i="5"/>
  <c r="Q93" i="5"/>
  <c r="N94" i="5"/>
  <c r="N93" i="5"/>
  <c r="H94" i="5"/>
  <c r="H93" i="5"/>
  <c r="Q126" i="5"/>
  <c r="Q125" i="5"/>
  <c r="N126" i="5"/>
  <c r="N125" i="5"/>
  <c r="H126" i="5"/>
  <c r="H125" i="5"/>
  <c r="Q82" i="5"/>
  <c r="Q81" i="5"/>
  <c r="N82" i="5"/>
  <c r="N81" i="5"/>
  <c r="H82" i="5"/>
  <c r="H81" i="5"/>
  <c r="Q98" i="5"/>
  <c r="Q97" i="5"/>
  <c r="N98" i="5"/>
  <c r="N97" i="5"/>
  <c r="H98" i="5"/>
  <c r="H97" i="5"/>
  <c r="Q114" i="5"/>
  <c r="Q113" i="5"/>
  <c r="N114" i="5"/>
  <c r="N113" i="5"/>
  <c r="H114" i="5"/>
  <c r="H113" i="5"/>
  <c r="Q118" i="5"/>
  <c r="Q117" i="5"/>
  <c r="N118" i="5"/>
  <c r="N117" i="5"/>
  <c r="H118" i="5"/>
  <c r="H117" i="5"/>
  <c r="G59" i="5"/>
  <c r="F59" i="5"/>
  <c r="G59" i="8"/>
  <c r="F59" i="8"/>
  <c r="G59" i="6"/>
  <c r="F59" i="6"/>
  <c r="G59" i="9"/>
  <c r="F59" i="9"/>
  <c r="G67" i="5"/>
  <c r="F67" i="5"/>
  <c r="G67" i="8"/>
  <c r="F67" i="8"/>
  <c r="G67" i="6"/>
  <c r="F67" i="6"/>
  <c r="G67" i="9"/>
  <c r="F67" i="9"/>
  <c r="G75" i="5"/>
  <c r="F75" i="5"/>
  <c r="G75" i="8"/>
  <c r="F75" i="8"/>
  <c r="G75" i="6"/>
  <c r="F75" i="6"/>
  <c r="G75" i="9"/>
  <c r="F75" i="9"/>
  <c r="G11" i="5"/>
  <c r="F11" i="5"/>
  <c r="G11" i="8"/>
  <c r="F11" i="8"/>
  <c r="G11" i="6"/>
  <c r="F11" i="6"/>
  <c r="G11" i="9"/>
  <c r="F11" i="9"/>
  <c r="G19" i="5"/>
  <c r="F19" i="5"/>
  <c r="G19" i="8"/>
  <c r="F19" i="8"/>
  <c r="G19" i="6"/>
  <c r="F19" i="6"/>
  <c r="G19" i="9"/>
  <c r="F19" i="9"/>
  <c r="G27" i="5"/>
  <c r="F27" i="5"/>
  <c r="G27" i="8"/>
  <c r="F27" i="8"/>
  <c r="G27" i="6"/>
  <c r="F27" i="6"/>
  <c r="G27" i="9"/>
  <c r="F27" i="9"/>
  <c r="G65" i="5"/>
  <c r="F65" i="5"/>
  <c r="G65" i="8"/>
  <c r="F65" i="8"/>
  <c r="G65" i="6"/>
  <c r="F65" i="6"/>
  <c r="G65" i="9"/>
  <c r="F65" i="9"/>
  <c r="G61" i="5"/>
  <c r="F61" i="5"/>
  <c r="G61" i="8"/>
  <c r="F61" i="8"/>
  <c r="G61" i="6"/>
  <c r="F61" i="6"/>
  <c r="G61" i="9"/>
  <c r="F61" i="9"/>
  <c r="G69" i="5"/>
  <c r="F69" i="5"/>
  <c r="G69" i="8"/>
  <c r="F69" i="8"/>
  <c r="G69" i="6"/>
  <c r="F69" i="6"/>
  <c r="G69" i="9"/>
  <c r="F69" i="9"/>
  <c r="G77" i="5"/>
  <c r="F77" i="5"/>
  <c r="G77" i="8"/>
  <c r="F77" i="8"/>
  <c r="G77" i="6"/>
  <c r="F77" i="6"/>
  <c r="G77" i="9"/>
  <c r="F77" i="9"/>
  <c r="G13" i="5"/>
  <c r="F13" i="5"/>
  <c r="G13" i="8"/>
  <c r="F13" i="8"/>
  <c r="G13" i="6"/>
  <c r="F13" i="6"/>
  <c r="G13" i="9"/>
  <c r="F13" i="9"/>
  <c r="G21" i="5"/>
  <c r="F21" i="5"/>
  <c r="G21" i="8"/>
  <c r="F21" i="8"/>
  <c r="G21" i="6"/>
  <c r="F21" i="6"/>
  <c r="G21" i="9"/>
  <c r="F21" i="9"/>
  <c r="G29" i="5"/>
  <c r="F29" i="5"/>
  <c r="G29" i="8"/>
  <c r="F29" i="8"/>
  <c r="G29" i="6"/>
  <c r="F29" i="6"/>
  <c r="G29" i="9"/>
  <c r="F29" i="9"/>
  <c r="F55" i="5"/>
  <c r="G55" i="8"/>
  <c r="G55" i="6"/>
  <c r="G55" i="9"/>
  <c r="F55" i="8"/>
  <c r="F55" i="6"/>
  <c r="F55" i="9"/>
  <c r="G55" i="5"/>
  <c r="G63" i="5"/>
  <c r="G63" i="8"/>
  <c r="F63" i="5"/>
  <c r="F63" i="8"/>
  <c r="F63" i="6"/>
  <c r="F63" i="9"/>
  <c r="G63" i="6"/>
  <c r="G63" i="9"/>
  <c r="G71" i="6"/>
  <c r="G71" i="9"/>
  <c r="G71" i="5"/>
  <c r="G71" i="8"/>
  <c r="F71" i="8"/>
  <c r="F71" i="5"/>
  <c r="F71" i="6"/>
  <c r="F71" i="9"/>
  <c r="G7" i="6"/>
  <c r="G7" i="9"/>
  <c r="F7" i="9"/>
  <c r="F7" i="8"/>
  <c r="F7" i="6"/>
  <c r="G7" i="5"/>
  <c r="G7" i="8"/>
  <c r="F7" i="5"/>
  <c r="F15" i="8"/>
  <c r="F15" i="6"/>
  <c r="F15" i="9"/>
  <c r="F15" i="5"/>
  <c r="G15" i="6"/>
  <c r="G15" i="9"/>
  <c r="G15" i="5"/>
  <c r="G15" i="8"/>
  <c r="G23" i="5"/>
  <c r="G23" i="8"/>
  <c r="F23" i="9"/>
  <c r="F23" i="8"/>
  <c r="F23" i="6"/>
  <c r="F23" i="5"/>
  <c r="G23" i="6"/>
  <c r="G23" i="9"/>
  <c r="G57" i="5"/>
  <c r="F57" i="5"/>
  <c r="G57" i="8"/>
  <c r="F57" i="8"/>
  <c r="G57" i="6"/>
  <c r="F57" i="6"/>
  <c r="G57" i="9"/>
  <c r="F57" i="9"/>
  <c r="G73" i="5"/>
  <c r="F73" i="5"/>
  <c r="G73" i="8"/>
  <c r="F73" i="8"/>
  <c r="G73" i="6"/>
  <c r="F73" i="6"/>
  <c r="G73" i="9"/>
  <c r="F73" i="9"/>
  <c r="G9" i="5"/>
  <c r="F9" i="5"/>
  <c r="G9" i="8"/>
  <c r="F9" i="8"/>
  <c r="G9" i="6"/>
  <c r="F9" i="6"/>
  <c r="G9" i="9"/>
  <c r="F9" i="9"/>
  <c r="G17" i="5"/>
  <c r="F17" i="5"/>
  <c r="G17" i="8"/>
  <c r="F17" i="8"/>
  <c r="G17" i="6"/>
  <c r="F17" i="6"/>
  <c r="G17" i="9"/>
  <c r="F17" i="9"/>
  <c r="G25" i="5"/>
  <c r="F25" i="5"/>
  <c r="G25" i="8"/>
  <c r="F25" i="8"/>
  <c r="G25" i="6"/>
  <c r="F25" i="6"/>
  <c r="G25" i="9"/>
  <c r="F25" i="9"/>
  <c r="F33" i="6"/>
  <c r="F33" i="76"/>
  <c r="F33" i="79"/>
  <c r="G33" i="79" s="1"/>
  <c r="F33" i="78"/>
  <c r="F33" i="77"/>
  <c r="F25" i="76"/>
  <c r="F25" i="79"/>
  <c r="F25" i="78"/>
  <c r="F25" i="77"/>
  <c r="G25" i="77" s="1"/>
  <c r="F55" i="79"/>
  <c r="F55" i="76"/>
  <c r="F55" i="78"/>
  <c r="F55" i="77"/>
  <c r="F63" i="76"/>
  <c r="F63" i="79"/>
  <c r="F63" i="78"/>
  <c r="F63" i="77"/>
  <c r="F71" i="76"/>
  <c r="F71" i="79"/>
  <c r="F71" i="78"/>
  <c r="F71" i="77"/>
  <c r="F31" i="76"/>
  <c r="F31" i="79"/>
  <c r="F31" i="78"/>
  <c r="F31" i="77"/>
  <c r="F39" i="76"/>
  <c r="F39" i="79"/>
  <c r="G39" i="79" s="1"/>
  <c r="F39" i="77"/>
  <c r="F39" i="78"/>
  <c r="F47" i="76"/>
  <c r="F47" i="79"/>
  <c r="G47" i="79" s="1"/>
  <c r="F47" i="77"/>
  <c r="F47" i="78"/>
  <c r="G47" i="78" s="1"/>
  <c r="F7" i="79"/>
  <c r="G7" i="79" s="1"/>
  <c r="F7" i="76"/>
  <c r="F7" i="77"/>
  <c r="F7" i="78"/>
  <c r="F15" i="76"/>
  <c r="F15" i="79"/>
  <c r="F15" i="78"/>
  <c r="F15" i="77"/>
  <c r="F23" i="76"/>
  <c r="F23" i="79"/>
  <c r="F23" i="78"/>
  <c r="F23" i="77"/>
  <c r="F73" i="76"/>
  <c r="F73" i="79"/>
  <c r="F73" i="78"/>
  <c r="G73" i="78" s="1"/>
  <c r="F73" i="77"/>
  <c r="F41" i="6"/>
  <c r="F41" i="79"/>
  <c r="G41" i="79" s="1"/>
  <c r="F41" i="76"/>
  <c r="F41" i="78"/>
  <c r="F41" i="77"/>
  <c r="F9" i="76"/>
  <c r="F9" i="79"/>
  <c r="F9" i="78"/>
  <c r="F9" i="77"/>
  <c r="F57" i="76"/>
  <c r="F57" i="79"/>
  <c r="F57" i="78"/>
  <c r="F57" i="77"/>
  <c r="F17" i="79"/>
  <c r="F17" i="76"/>
  <c r="F17" i="78"/>
  <c r="F17" i="77"/>
  <c r="F59" i="76"/>
  <c r="F59" i="79"/>
  <c r="F59" i="78"/>
  <c r="G59" i="78" s="1"/>
  <c r="F59" i="77"/>
  <c r="F67" i="76"/>
  <c r="F67" i="79"/>
  <c r="F67" i="78"/>
  <c r="F67" i="77"/>
  <c r="F75" i="76"/>
  <c r="F75" i="79"/>
  <c r="F75" i="78"/>
  <c r="F75" i="77"/>
  <c r="F35" i="76"/>
  <c r="G35" i="76" s="1"/>
  <c r="F35" i="79"/>
  <c r="G35" i="79" s="1"/>
  <c r="F35" i="77"/>
  <c r="F35" i="78"/>
  <c r="G35" i="78" s="1"/>
  <c r="F43" i="76"/>
  <c r="F43" i="79"/>
  <c r="F43" i="77"/>
  <c r="F43" i="78"/>
  <c r="F51" i="76"/>
  <c r="F51" i="79"/>
  <c r="G51" i="79" s="1"/>
  <c r="F51" i="77"/>
  <c r="F51" i="78"/>
  <c r="G51" i="78" s="1"/>
  <c r="F11" i="76"/>
  <c r="F11" i="79"/>
  <c r="F11" i="77"/>
  <c r="F11" i="78"/>
  <c r="F19" i="76"/>
  <c r="F19" i="79"/>
  <c r="F19" i="77"/>
  <c r="F19" i="78"/>
  <c r="F27" i="76"/>
  <c r="F27" i="79"/>
  <c r="F27" i="77"/>
  <c r="F27" i="78"/>
  <c r="F65" i="76"/>
  <c r="F65" i="78"/>
  <c r="F65" i="79"/>
  <c r="F65" i="77"/>
  <c r="F49" i="6"/>
  <c r="F49" i="79"/>
  <c r="G49" i="79" s="1"/>
  <c r="F49" i="76"/>
  <c r="F49" i="77"/>
  <c r="F49" i="78"/>
  <c r="F61" i="79"/>
  <c r="F61" i="76"/>
  <c r="F61" i="78"/>
  <c r="F61" i="77"/>
  <c r="F69" i="76"/>
  <c r="F69" i="78"/>
  <c r="G69" i="78" s="1"/>
  <c r="F69" i="77"/>
  <c r="F69" i="79"/>
  <c r="T29" i="6"/>
  <c r="F77" i="76"/>
  <c r="F77" i="79"/>
  <c r="F77" i="78"/>
  <c r="F77" i="77"/>
  <c r="G37" i="6"/>
  <c r="F37" i="76"/>
  <c r="F37" i="79"/>
  <c r="G37" i="79" s="1"/>
  <c r="F37" i="77"/>
  <c r="F37" i="78"/>
  <c r="G45" i="6"/>
  <c r="F45" i="76"/>
  <c r="F45" i="79"/>
  <c r="F45" i="77"/>
  <c r="F45" i="78"/>
  <c r="G45" i="78" s="1"/>
  <c r="G53" i="6"/>
  <c r="F53" i="76"/>
  <c r="F53" i="79"/>
  <c r="G53" i="79" s="1"/>
  <c r="F53" i="77"/>
  <c r="F53" i="78"/>
  <c r="F13" i="76"/>
  <c r="F13" i="79"/>
  <c r="F13" i="77"/>
  <c r="F13" i="78"/>
  <c r="G13" i="78" s="1"/>
  <c r="F21" i="76"/>
  <c r="F21" i="79"/>
  <c r="F21" i="77"/>
  <c r="F21" i="78"/>
  <c r="G21" i="78" s="1"/>
  <c r="F29" i="76"/>
  <c r="F29" i="79"/>
  <c r="F29" i="77"/>
  <c r="F29" i="78"/>
  <c r="G29" i="78" s="1"/>
  <c r="W7" i="4"/>
  <c r="E79" i="8"/>
  <c r="E104" i="5"/>
  <c r="V104" i="4"/>
  <c r="E106" i="5"/>
  <c r="V106" i="4"/>
  <c r="E108" i="5"/>
  <c r="V108" i="4"/>
  <c r="E110" i="5"/>
  <c r="V110" i="4"/>
  <c r="E112" i="5"/>
  <c r="V112" i="4"/>
  <c r="E114" i="5"/>
  <c r="V114" i="4"/>
  <c r="E116" i="5"/>
  <c r="V116" i="4"/>
  <c r="E118" i="5"/>
  <c r="V118" i="4"/>
  <c r="E120" i="5"/>
  <c r="V120" i="4"/>
  <c r="E122" i="5"/>
  <c r="V122" i="4"/>
  <c r="E124" i="5"/>
  <c r="V124" i="4"/>
  <c r="E126" i="5"/>
  <c r="V126" i="4"/>
  <c r="E103" i="5"/>
  <c r="V103" i="4"/>
  <c r="E105" i="5"/>
  <c r="V105" i="4"/>
  <c r="E107" i="5"/>
  <c r="V107" i="4"/>
  <c r="E109" i="5"/>
  <c r="V109" i="4"/>
  <c r="E111" i="5"/>
  <c r="V111" i="4"/>
  <c r="E113" i="5"/>
  <c r="V113" i="4"/>
  <c r="E115" i="5"/>
  <c r="V115" i="4"/>
  <c r="E117" i="5"/>
  <c r="V117" i="4"/>
  <c r="E119" i="5"/>
  <c r="V119" i="4"/>
  <c r="E121" i="5"/>
  <c r="V121" i="4"/>
  <c r="E123" i="5"/>
  <c r="V123" i="4"/>
  <c r="E125" i="5"/>
  <c r="V125" i="4"/>
  <c r="E80" i="5"/>
  <c r="V80" i="4"/>
  <c r="E82" i="5"/>
  <c r="V82" i="4"/>
  <c r="E84" i="5"/>
  <c r="V84" i="4"/>
  <c r="E88" i="5"/>
  <c r="V88" i="4"/>
  <c r="E90" i="5"/>
  <c r="V90" i="4"/>
  <c r="E92" i="5"/>
  <c r="V92" i="4"/>
  <c r="E94" i="5"/>
  <c r="V94" i="4"/>
  <c r="E96" i="5"/>
  <c r="V96" i="4"/>
  <c r="E98" i="5"/>
  <c r="V98" i="4"/>
  <c r="E100" i="5"/>
  <c r="V100" i="4"/>
  <c r="E102" i="5"/>
  <c r="V102" i="4"/>
  <c r="E79" i="5"/>
  <c r="V79" i="4"/>
  <c r="E81" i="5"/>
  <c r="V81" i="4"/>
  <c r="E83" i="5"/>
  <c r="V83" i="4"/>
  <c r="E85" i="5"/>
  <c r="V85" i="4"/>
  <c r="E87" i="5"/>
  <c r="V87" i="4"/>
  <c r="E89" i="5"/>
  <c r="V89" i="4"/>
  <c r="E91" i="5"/>
  <c r="V91" i="4"/>
  <c r="E93" i="5"/>
  <c r="V93" i="4"/>
  <c r="E95" i="5"/>
  <c r="V95" i="4"/>
  <c r="E97" i="5"/>
  <c r="V97" i="4"/>
  <c r="E99" i="5"/>
  <c r="V99" i="4"/>
  <c r="E101" i="5"/>
  <c r="V101" i="4"/>
  <c r="E32" i="6"/>
  <c r="E36" i="5"/>
  <c r="E40" i="6"/>
  <c r="E44" i="5"/>
  <c r="E48" i="6"/>
  <c r="E52" i="5"/>
  <c r="E33" i="6"/>
  <c r="E34" i="6"/>
  <c r="E35" i="6"/>
  <c r="E37" i="5"/>
  <c r="E38" i="6"/>
  <c r="E41" i="6"/>
  <c r="E42" i="6"/>
  <c r="E43" i="6"/>
  <c r="E45" i="5"/>
  <c r="E46" i="6"/>
  <c r="E49" i="6"/>
  <c r="E50" i="6"/>
  <c r="E51" i="6"/>
  <c r="E53" i="5"/>
  <c r="E54" i="6"/>
  <c r="V86" i="4"/>
  <c r="E31" i="9"/>
  <c r="E35" i="9"/>
  <c r="E39" i="9"/>
  <c r="E47" i="9"/>
  <c r="E51" i="9"/>
  <c r="E83" i="8"/>
  <c r="E81" i="8"/>
  <c r="J9" i="4"/>
  <c r="J13" i="4"/>
  <c r="J17" i="4"/>
  <c r="J21" i="4"/>
  <c r="J25" i="4"/>
  <c r="J29" i="4"/>
  <c r="J8" i="4"/>
  <c r="J10" i="4"/>
  <c r="J12" i="4"/>
  <c r="J14" i="4"/>
  <c r="J16" i="4"/>
  <c r="J18" i="4"/>
  <c r="J20" i="4"/>
  <c r="J22" i="4"/>
  <c r="J24" i="4"/>
  <c r="J26" i="4"/>
  <c r="J28" i="4"/>
  <c r="J30" i="4"/>
  <c r="T14" i="6"/>
  <c r="T13" i="6"/>
  <c r="K13" i="6"/>
  <c r="T21" i="6"/>
  <c r="K21" i="6"/>
  <c r="T30" i="6"/>
  <c r="T38" i="6"/>
  <c r="T37" i="6"/>
  <c r="K37" i="6"/>
  <c r="T62" i="6"/>
  <c r="T61" i="6"/>
  <c r="K61" i="6"/>
  <c r="T70" i="6"/>
  <c r="T69" i="6"/>
  <c r="K69" i="6"/>
  <c r="J11" i="4"/>
  <c r="J15" i="4"/>
  <c r="J19" i="4"/>
  <c r="J23" i="4"/>
  <c r="J27" i="4"/>
  <c r="T7" i="5"/>
  <c r="T7" i="6"/>
  <c r="K12" i="9"/>
  <c r="T11" i="6"/>
  <c r="T15" i="6"/>
  <c r="T19" i="6"/>
  <c r="K24" i="8"/>
  <c r="K27" i="6"/>
  <c r="G31" i="9"/>
  <c r="F31" i="9"/>
  <c r="F31" i="8"/>
  <c r="G31" i="8"/>
  <c r="F31" i="6"/>
  <c r="F31" i="5"/>
  <c r="G31" i="6"/>
  <c r="G31" i="5"/>
  <c r="G35" i="9"/>
  <c r="F35" i="9"/>
  <c r="F35" i="8"/>
  <c r="G35" i="8"/>
  <c r="G35" i="6"/>
  <c r="F35" i="5"/>
  <c r="F35" i="6"/>
  <c r="G35" i="5"/>
  <c r="G39" i="9"/>
  <c r="F39" i="9"/>
  <c r="F39" i="8"/>
  <c r="G39" i="8"/>
  <c r="F39" i="6"/>
  <c r="F39" i="5"/>
  <c r="G39" i="6"/>
  <c r="G39" i="5"/>
  <c r="G43" i="9"/>
  <c r="F43" i="9"/>
  <c r="F43" i="8"/>
  <c r="G43" i="8"/>
  <c r="G43" i="6"/>
  <c r="F43" i="5"/>
  <c r="F43" i="6"/>
  <c r="G43" i="5"/>
  <c r="G47" i="9"/>
  <c r="F47" i="9"/>
  <c r="F47" i="8"/>
  <c r="G47" i="8"/>
  <c r="F47" i="6"/>
  <c r="F47" i="5"/>
  <c r="G47" i="6"/>
  <c r="G47" i="5"/>
  <c r="G51" i="9"/>
  <c r="F51" i="9"/>
  <c r="F51" i="8"/>
  <c r="G51" i="8"/>
  <c r="G51" i="6"/>
  <c r="F51" i="5"/>
  <c r="F51" i="6"/>
  <c r="G51" i="5"/>
  <c r="K56" i="6"/>
  <c r="K64" i="8"/>
  <c r="K68" i="8"/>
  <c r="G79" i="8"/>
  <c r="G83" i="8"/>
  <c r="G87" i="8"/>
  <c r="G91" i="8"/>
  <c r="G95" i="8"/>
  <c r="G99" i="8"/>
  <c r="F103" i="8"/>
  <c r="G103" i="8"/>
  <c r="F107" i="8"/>
  <c r="G107" i="8"/>
  <c r="F111" i="8"/>
  <c r="G111" i="8"/>
  <c r="F115" i="8"/>
  <c r="G115" i="8"/>
  <c r="F119" i="8"/>
  <c r="G119" i="8"/>
  <c r="F123" i="8"/>
  <c r="G123" i="8"/>
  <c r="J32" i="4"/>
  <c r="J48" i="4"/>
  <c r="E31" i="5"/>
  <c r="E34" i="5"/>
  <c r="E35" i="5"/>
  <c r="E38" i="5"/>
  <c r="E39" i="5"/>
  <c r="E42" i="5"/>
  <c r="E43" i="5"/>
  <c r="E46" i="5"/>
  <c r="E47" i="5"/>
  <c r="E50" i="5"/>
  <c r="E51" i="5"/>
  <c r="E54" i="5"/>
  <c r="E86" i="5"/>
  <c r="K22" i="5"/>
  <c r="T13" i="5"/>
  <c r="T10" i="5"/>
  <c r="G33" i="5"/>
  <c r="G37" i="5"/>
  <c r="G41" i="5"/>
  <c r="G45" i="5"/>
  <c r="G49" i="5"/>
  <c r="G53" i="5"/>
  <c r="T62" i="5"/>
  <c r="K63" i="5"/>
  <c r="K76" i="5"/>
  <c r="G79" i="5"/>
  <c r="G83" i="5"/>
  <c r="G87" i="5"/>
  <c r="G91" i="5"/>
  <c r="G95" i="5"/>
  <c r="G99" i="5"/>
  <c r="G103" i="5"/>
  <c r="G107" i="5"/>
  <c r="G111" i="5"/>
  <c r="G115" i="5"/>
  <c r="G119" i="5"/>
  <c r="G123" i="5"/>
  <c r="E31" i="6"/>
  <c r="E36" i="6"/>
  <c r="E37" i="6"/>
  <c r="E39" i="6"/>
  <c r="E44" i="6"/>
  <c r="E45" i="6"/>
  <c r="E47" i="6"/>
  <c r="E52" i="6"/>
  <c r="E53" i="6"/>
  <c r="T10" i="9"/>
  <c r="K17" i="9"/>
  <c r="T26" i="9"/>
  <c r="K26" i="8"/>
  <c r="G33" i="9"/>
  <c r="F33" i="9"/>
  <c r="F33" i="8"/>
  <c r="G33" i="8"/>
  <c r="G37" i="9"/>
  <c r="F37" i="9"/>
  <c r="F37" i="8"/>
  <c r="G37" i="8"/>
  <c r="G41" i="9"/>
  <c r="F41" i="9"/>
  <c r="F41" i="8"/>
  <c r="G41" i="8"/>
  <c r="G45" i="9"/>
  <c r="F45" i="9"/>
  <c r="F45" i="8"/>
  <c r="G45" i="8"/>
  <c r="G49" i="9"/>
  <c r="F49" i="9"/>
  <c r="F49" i="8"/>
  <c r="G49" i="8"/>
  <c r="G53" i="9"/>
  <c r="F53" i="9"/>
  <c r="F53" i="8"/>
  <c r="G53" i="8"/>
  <c r="T57" i="8"/>
  <c r="T66" i="9"/>
  <c r="T65" i="8"/>
  <c r="T74" i="9"/>
  <c r="T73" i="8"/>
  <c r="G81" i="8"/>
  <c r="G85" i="8"/>
  <c r="G89" i="8"/>
  <c r="G93" i="8"/>
  <c r="G97" i="8"/>
  <c r="G101" i="8"/>
  <c r="F105" i="8"/>
  <c r="G105" i="8"/>
  <c r="F109" i="8"/>
  <c r="G109" i="8"/>
  <c r="F113" i="8"/>
  <c r="G113" i="8"/>
  <c r="F117" i="8"/>
  <c r="G117" i="8"/>
  <c r="F121" i="8"/>
  <c r="G121" i="8"/>
  <c r="F125" i="8"/>
  <c r="G125" i="8"/>
  <c r="E32" i="9"/>
  <c r="E32" i="8"/>
  <c r="E33" i="9"/>
  <c r="E33" i="8"/>
  <c r="E34" i="9"/>
  <c r="E34" i="8"/>
  <c r="E36" i="9"/>
  <c r="E36" i="8"/>
  <c r="E37" i="9"/>
  <c r="E37" i="8"/>
  <c r="E38" i="9"/>
  <c r="E38" i="8"/>
  <c r="E40" i="9"/>
  <c r="E40" i="8"/>
  <c r="E41" i="9"/>
  <c r="E41" i="8"/>
  <c r="E42" i="9"/>
  <c r="E42" i="8"/>
  <c r="E45" i="9"/>
  <c r="E45" i="8"/>
  <c r="E46" i="9"/>
  <c r="E46" i="8"/>
  <c r="E48" i="9"/>
  <c r="E48" i="8"/>
  <c r="E49" i="9"/>
  <c r="E49" i="8"/>
  <c r="E50" i="9"/>
  <c r="E50" i="8"/>
  <c r="E52" i="9"/>
  <c r="E52" i="8"/>
  <c r="E53" i="9"/>
  <c r="E53" i="8"/>
  <c r="E54" i="9"/>
  <c r="E54" i="8"/>
  <c r="J61" i="4"/>
  <c r="E32" i="5"/>
  <c r="E33" i="5"/>
  <c r="E40" i="5"/>
  <c r="E41" i="5"/>
  <c r="E48" i="5"/>
  <c r="E49" i="5"/>
  <c r="F33" i="5"/>
  <c r="F37" i="5"/>
  <c r="F41" i="5"/>
  <c r="F45" i="5"/>
  <c r="F49" i="5"/>
  <c r="F53" i="5"/>
  <c r="F79" i="5"/>
  <c r="F81" i="5"/>
  <c r="F83" i="5"/>
  <c r="F85" i="5"/>
  <c r="F87" i="5"/>
  <c r="F89" i="5"/>
  <c r="F91" i="5"/>
  <c r="F93" i="5"/>
  <c r="F95" i="5"/>
  <c r="F97" i="5"/>
  <c r="F99" i="5"/>
  <c r="F101" i="5"/>
  <c r="F103" i="5"/>
  <c r="F105" i="5"/>
  <c r="F107" i="5"/>
  <c r="F109" i="5"/>
  <c r="F111" i="5"/>
  <c r="F113" i="5"/>
  <c r="F115" i="5"/>
  <c r="F117" i="5"/>
  <c r="F119" i="5"/>
  <c r="F121" i="5"/>
  <c r="F123" i="5"/>
  <c r="F125" i="5"/>
  <c r="K18" i="6"/>
  <c r="G33" i="6"/>
  <c r="F37" i="6"/>
  <c r="G41" i="6"/>
  <c r="F45" i="6"/>
  <c r="G49" i="6"/>
  <c r="F53" i="6"/>
  <c r="K14" i="6"/>
  <c r="K22" i="6"/>
  <c r="K30" i="6"/>
  <c r="K38" i="6"/>
  <c r="K46" i="6"/>
  <c r="K62" i="6"/>
  <c r="K70" i="6"/>
  <c r="T78" i="5"/>
  <c r="K78" i="5"/>
  <c r="T77" i="5"/>
  <c r="K77" i="5"/>
  <c r="K82" i="5"/>
  <c r="T81" i="5"/>
  <c r="T82" i="5"/>
  <c r="K81" i="5"/>
  <c r="K86" i="5"/>
  <c r="T85" i="5"/>
  <c r="T86" i="5"/>
  <c r="K85" i="5"/>
  <c r="K90" i="5"/>
  <c r="T89" i="5"/>
  <c r="T90" i="5"/>
  <c r="K89" i="5"/>
  <c r="K94" i="5"/>
  <c r="T93" i="5"/>
  <c r="T94" i="5"/>
  <c r="K93" i="5"/>
  <c r="K98" i="5"/>
  <c r="T97" i="5"/>
  <c r="T98" i="5"/>
  <c r="K97" i="5"/>
  <c r="K102" i="5"/>
  <c r="T101" i="5"/>
  <c r="T102" i="5"/>
  <c r="K101" i="5"/>
  <c r="T106" i="5"/>
  <c r="K105" i="5"/>
  <c r="K106" i="5"/>
  <c r="T105" i="5"/>
  <c r="T110" i="5"/>
  <c r="K109" i="5"/>
  <c r="K110" i="5"/>
  <c r="T109" i="5"/>
  <c r="T114" i="5"/>
  <c r="K113" i="5"/>
  <c r="K114" i="5"/>
  <c r="T113" i="5"/>
  <c r="T118" i="5"/>
  <c r="K117" i="5"/>
  <c r="K118" i="5"/>
  <c r="T117" i="5"/>
  <c r="T122" i="5"/>
  <c r="K121" i="5"/>
  <c r="K122" i="5"/>
  <c r="T121" i="5"/>
  <c r="T126" i="5"/>
  <c r="K125" i="5"/>
  <c r="K126" i="5"/>
  <c r="T125" i="5"/>
  <c r="E85" i="8"/>
  <c r="E87" i="8"/>
  <c r="E89" i="8"/>
  <c r="E93" i="8"/>
  <c r="E95" i="8"/>
  <c r="E97" i="8"/>
  <c r="E99" i="8"/>
  <c r="E101" i="8"/>
  <c r="E103" i="8"/>
  <c r="E105" i="8"/>
  <c r="E107" i="8"/>
  <c r="E109" i="8"/>
  <c r="E111" i="8"/>
  <c r="E113" i="8"/>
  <c r="E117" i="8"/>
  <c r="E119" i="8"/>
  <c r="E121" i="8"/>
  <c r="E123" i="8"/>
  <c r="E125" i="8"/>
  <c r="Q41" i="6" l="1"/>
  <c r="Q42" i="6"/>
  <c r="N41" i="6"/>
  <c r="N42" i="6"/>
  <c r="H41" i="6"/>
  <c r="H42" i="6"/>
  <c r="T97" i="8"/>
  <c r="Q97" i="8"/>
  <c r="Q98" i="8"/>
  <c r="N97" i="8"/>
  <c r="N98" i="8"/>
  <c r="H98" i="8"/>
  <c r="H97" i="8"/>
  <c r="Q122" i="8"/>
  <c r="Q121" i="8"/>
  <c r="N122" i="8"/>
  <c r="N121" i="8"/>
  <c r="H121" i="8"/>
  <c r="H122" i="8"/>
  <c r="Q114" i="8"/>
  <c r="Q113" i="8"/>
  <c r="N114" i="8"/>
  <c r="N113" i="8"/>
  <c r="H114" i="8"/>
  <c r="H113" i="8"/>
  <c r="T105" i="8"/>
  <c r="Q106" i="8"/>
  <c r="Q105" i="8"/>
  <c r="N106" i="8"/>
  <c r="N105" i="8"/>
  <c r="H105" i="8"/>
  <c r="H106" i="8"/>
  <c r="Q93" i="8"/>
  <c r="Q94" i="8"/>
  <c r="N93" i="8"/>
  <c r="N94" i="8"/>
  <c r="H94" i="8"/>
  <c r="H93" i="8"/>
  <c r="Q53" i="9"/>
  <c r="Q54" i="9"/>
  <c r="N54" i="9"/>
  <c r="N53" i="9"/>
  <c r="H53" i="9"/>
  <c r="H54" i="9"/>
  <c r="K50" i="9"/>
  <c r="Q50" i="9"/>
  <c r="Q49" i="9"/>
  <c r="N50" i="9"/>
  <c r="H49" i="9"/>
  <c r="N49" i="9"/>
  <c r="H50" i="9"/>
  <c r="T46" i="9"/>
  <c r="Q45" i="9"/>
  <c r="Q46" i="9"/>
  <c r="N46" i="9"/>
  <c r="H45" i="9"/>
  <c r="H46" i="9"/>
  <c r="N45" i="9"/>
  <c r="Q41" i="9"/>
  <c r="Q42" i="9"/>
  <c r="N42" i="9"/>
  <c r="N41" i="9"/>
  <c r="H42" i="9"/>
  <c r="H41" i="9"/>
  <c r="T38" i="9"/>
  <c r="Q38" i="9"/>
  <c r="Q37" i="9"/>
  <c r="N38" i="9"/>
  <c r="H37" i="9"/>
  <c r="N37" i="9"/>
  <c r="H38" i="9"/>
  <c r="T34" i="9"/>
  <c r="Q33" i="9"/>
  <c r="Q34" i="9"/>
  <c r="N34" i="9"/>
  <c r="H33" i="9"/>
  <c r="N33" i="9"/>
  <c r="H34" i="9"/>
  <c r="Q115" i="5"/>
  <c r="Q116" i="5"/>
  <c r="N115" i="5"/>
  <c r="H116" i="5"/>
  <c r="H115" i="5"/>
  <c r="N116" i="5"/>
  <c r="Q99" i="5"/>
  <c r="Q100" i="5"/>
  <c r="N99" i="5"/>
  <c r="H100" i="5"/>
  <c r="H99" i="5"/>
  <c r="N100" i="5"/>
  <c r="Q83" i="5"/>
  <c r="Q84" i="5"/>
  <c r="N83" i="5"/>
  <c r="H84" i="5"/>
  <c r="H83" i="5"/>
  <c r="N84" i="5"/>
  <c r="Q42" i="5"/>
  <c r="Q41" i="5"/>
  <c r="N42" i="5"/>
  <c r="N41" i="5"/>
  <c r="H41" i="5"/>
  <c r="H42" i="5"/>
  <c r="K88" i="8"/>
  <c r="Q87" i="8"/>
  <c r="Q88" i="8"/>
  <c r="N88" i="8"/>
  <c r="H88" i="8"/>
  <c r="N87" i="8"/>
  <c r="H87" i="8"/>
  <c r="Q50" i="79"/>
  <c r="Q49" i="79"/>
  <c r="N50" i="79"/>
  <c r="N49" i="79"/>
  <c r="K50" i="79"/>
  <c r="K49" i="79"/>
  <c r="H50" i="79"/>
  <c r="H49" i="79"/>
  <c r="N52" i="79"/>
  <c r="N51" i="79"/>
  <c r="Q52" i="79"/>
  <c r="Q51" i="79"/>
  <c r="K51" i="79"/>
  <c r="H52" i="79"/>
  <c r="H51" i="79"/>
  <c r="K52" i="79"/>
  <c r="N36" i="79"/>
  <c r="Q36" i="79"/>
  <c r="N35" i="79"/>
  <c r="Q35" i="79"/>
  <c r="K35" i="79"/>
  <c r="H36" i="79"/>
  <c r="H35" i="79"/>
  <c r="K36" i="79"/>
  <c r="Q24" i="9"/>
  <c r="Q23" i="9"/>
  <c r="N24" i="9"/>
  <c r="N23" i="9"/>
  <c r="H24" i="9"/>
  <c r="H23" i="9"/>
  <c r="Q16" i="8"/>
  <c r="Q15" i="8"/>
  <c r="N16" i="8"/>
  <c r="N15" i="8"/>
  <c r="H16" i="8"/>
  <c r="H15" i="8"/>
  <c r="K72" i="8"/>
  <c r="Q71" i="8"/>
  <c r="Q72" i="8"/>
  <c r="N72" i="8"/>
  <c r="H72" i="8"/>
  <c r="N71" i="8"/>
  <c r="H71" i="8"/>
  <c r="K64" i="9"/>
  <c r="Q64" i="9"/>
  <c r="Q63" i="9"/>
  <c r="N64" i="9"/>
  <c r="N63" i="9"/>
  <c r="H64" i="9"/>
  <c r="H63" i="9"/>
  <c r="Q55" i="5"/>
  <c r="Q56" i="5"/>
  <c r="N55" i="5"/>
  <c r="H56" i="5"/>
  <c r="N56" i="5"/>
  <c r="H55" i="5"/>
  <c r="Q56" i="9"/>
  <c r="Q55" i="9"/>
  <c r="N56" i="9"/>
  <c r="N55" i="9"/>
  <c r="H56" i="9"/>
  <c r="H55" i="9"/>
  <c r="K34" i="6"/>
  <c r="Q33" i="6"/>
  <c r="Q34" i="6"/>
  <c r="N33" i="6"/>
  <c r="H33" i="6"/>
  <c r="N34" i="6"/>
  <c r="H34" i="6"/>
  <c r="T89" i="8"/>
  <c r="Q89" i="8"/>
  <c r="Q90" i="8"/>
  <c r="N89" i="8"/>
  <c r="N90" i="8"/>
  <c r="H89" i="8"/>
  <c r="H90" i="8"/>
  <c r="T54" i="8"/>
  <c r="Q53" i="8"/>
  <c r="Q54" i="8"/>
  <c r="N53" i="8"/>
  <c r="N54" i="8"/>
  <c r="H53" i="8"/>
  <c r="H54" i="8"/>
  <c r="T45" i="8"/>
  <c r="Q45" i="8"/>
  <c r="Q46" i="8"/>
  <c r="N45" i="8"/>
  <c r="N46" i="8"/>
  <c r="H46" i="8"/>
  <c r="H45" i="8"/>
  <c r="K42" i="8"/>
  <c r="Q42" i="8"/>
  <c r="Q41" i="8"/>
  <c r="N41" i="8"/>
  <c r="N42" i="8"/>
  <c r="H41" i="8"/>
  <c r="H42" i="8"/>
  <c r="Q37" i="8"/>
  <c r="Q38" i="8"/>
  <c r="N37" i="8"/>
  <c r="N38" i="8"/>
  <c r="H37" i="8"/>
  <c r="H38" i="8"/>
  <c r="K33" i="8"/>
  <c r="Q33" i="8"/>
  <c r="Q34" i="8"/>
  <c r="N33" i="8"/>
  <c r="N34" i="8"/>
  <c r="H33" i="8"/>
  <c r="H34" i="8"/>
  <c r="Q111" i="5"/>
  <c r="Q112" i="5"/>
  <c r="N111" i="5"/>
  <c r="H112" i="5"/>
  <c r="H111" i="5"/>
  <c r="N112" i="5"/>
  <c r="Q95" i="5"/>
  <c r="Q96" i="5"/>
  <c r="N95" i="5"/>
  <c r="H96" i="5"/>
  <c r="H95" i="5"/>
  <c r="N96" i="5"/>
  <c r="Q79" i="5"/>
  <c r="Q80" i="5"/>
  <c r="N79" i="5"/>
  <c r="H80" i="5"/>
  <c r="H79" i="5"/>
  <c r="N80" i="5"/>
  <c r="Q54" i="5"/>
  <c r="Q53" i="5"/>
  <c r="N54" i="5"/>
  <c r="N53" i="5"/>
  <c r="H54" i="5"/>
  <c r="H53" i="5"/>
  <c r="Q38" i="5"/>
  <c r="Q37" i="5"/>
  <c r="N38" i="5"/>
  <c r="N37" i="5"/>
  <c r="H38" i="5"/>
  <c r="H37" i="5"/>
  <c r="K124" i="8"/>
  <c r="Q123" i="8"/>
  <c r="Q124" i="8"/>
  <c r="N123" i="8"/>
  <c r="H124" i="8"/>
  <c r="N124" i="8"/>
  <c r="H123" i="8"/>
  <c r="T115" i="8"/>
  <c r="Q115" i="8"/>
  <c r="Q116" i="8"/>
  <c r="N115" i="8"/>
  <c r="N116" i="8"/>
  <c r="H116" i="8"/>
  <c r="H115" i="8"/>
  <c r="Q107" i="8"/>
  <c r="Q108" i="8"/>
  <c r="N107" i="8"/>
  <c r="H108" i="8"/>
  <c r="N108" i="8"/>
  <c r="H107" i="8"/>
  <c r="Q99" i="8"/>
  <c r="Q100" i="8"/>
  <c r="N99" i="8"/>
  <c r="N100" i="8"/>
  <c r="H100" i="8"/>
  <c r="H99" i="8"/>
  <c r="Q83" i="8"/>
  <c r="Q84" i="8"/>
  <c r="N83" i="8"/>
  <c r="H84" i="8"/>
  <c r="N84" i="8"/>
  <c r="H83" i="8"/>
  <c r="Q52" i="6"/>
  <c r="Q51" i="6"/>
  <c r="N52" i="6"/>
  <c r="N51" i="6"/>
  <c r="H52" i="6"/>
  <c r="H51" i="6"/>
  <c r="Q52" i="9"/>
  <c r="Q51" i="9"/>
  <c r="N52" i="9"/>
  <c r="N51" i="9"/>
  <c r="H52" i="9"/>
  <c r="H51" i="9"/>
  <c r="Q48" i="9"/>
  <c r="Q47" i="9"/>
  <c r="N48" i="9"/>
  <c r="N47" i="9"/>
  <c r="H48" i="9"/>
  <c r="H47" i="9"/>
  <c r="T43" i="6"/>
  <c r="Q44" i="6"/>
  <c r="Q43" i="6"/>
  <c r="N43" i="6"/>
  <c r="N44" i="6"/>
  <c r="H44" i="6"/>
  <c r="H43" i="6"/>
  <c r="Q44" i="9"/>
  <c r="Q43" i="9"/>
  <c r="N44" i="9"/>
  <c r="N43" i="9"/>
  <c r="H44" i="9"/>
  <c r="H43" i="9"/>
  <c r="K40" i="9"/>
  <c r="Q40" i="9"/>
  <c r="Q39" i="9"/>
  <c r="N40" i="9"/>
  <c r="N39" i="9"/>
  <c r="H40" i="9"/>
  <c r="H39" i="9"/>
  <c r="T35" i="6"/>
  <c r="Q36" i="6"/>
  <c r="Q35" i="6"/>
  <c r="N36" i="6"/>
  <c r="N35" i="6"/>
  <c r="H36" i="6"/>
  <c r="H35" i="6"/>
  <c r="K36" i="9"/>
  <c r="Q36" i="9"/>
  <c r="Q35" i="9"/>
  <c r="N36" i="9"/>
  <c r="N35" i="9"/>
  <c r="H36" i="9"/>
  <c r="H35" i="9"/>
  <c r="K32" i="9"/>
  <c r="Q32" i="9"/>
  <c r="Q31" i="9"/>
  <c r="N32" i="9"/>
  <c r="N31" i="9"/>
  <c r="H32" i="9"/>
  <c r="H31" i="9"/>
  <c r="Q53" i="6"/>
  <c r="Q54" i="6"/>
  <c r="N53" i="6"/>
  <c r="N54" i="6"/>
  <c r="H53" i="6"/>
  <c r="H54" i="6"/>
  <c r="Q38" i="79"/>
  <c r="Q37" i="79"/>
  <c r="N38" i="79"/>
  <c r="N37" i="79"/>
  <c r="K38" i="79"/>
  <c r="K37" i="79"/>
  <c r="H38" i="79"/>
  <c r="H37" i="79"/>
  <c r="Q42" i="79"/>
  <c r="Q41" i="79"/>
  <c r="N42" i="79"/>
  <c r="N41" i="79"/>
  <c r="K42" i="79"/>
  <c r="K41" i="79"/>
  <c r="H42" i="79"/>
  <c r="H41" i="79"/>
  <c r="N48" i="79"/>
  <c r="Q48" i="79"/>
  <c r="Q47" i="79"/>
  <c r="N47" i="79"/>
  <c r="K47" i="79"/>
  <c r="H48" i="79"/>
  <c r="H47" i="79"/>
  <c r="K48" i="79"/>
  <c r="N40" i="79"/>
  <c r="Q40" i="79"/>
  <c r="Q39" i="79"/>
  <c r="N39" i="79"/>
  <c r="K39" i="79"/>
  <c r="H40" i="79"/>
  <c r="K40" i="79"/>
  <c r="H39" i="79"/>
  <c r="Q34" i="79"/>
  <c r="Q33" i="79"/>
  <c r="N34" i="79"/>
  <c r="N33" i="79"/>
  <c r="K34" i="79"/>
  <c r="K33" i="79"/>
  <c r="H34" i="79"/>
  <c r="H33" i="79"/>
  <c r="Q26" i="9"/>
  <c r="Q25" i="9"/>
  <c r="N26" i="9"/>
  <c r="N25" i="9"/>
  <c r="H25" i="9"/>
  <c r="H26" i="9"/>
  <c r="Q25" i="8"/>
  <c r="Q26" i="8"/>
  <c r="N25" i="8"/>
  <c r="N26" i="8"/>
  <c r="H26" i="8"/>
  <c r="H25" i="8"/>
  <c r="Q17" i="9"/>
  <c r="Q18" i="9"/>
  <c r="N18" i="9"/>
  <c r="N17" i="9"/>
  <c r="H18" i="9"/>
  <c r="H17" i="9"/>
  <c r="Q18" i="8"/>
  <c r="Q17" i="8"/>
  <c r="N17" i="8"/>
  <c r="N18" i="8"/>
  <c r="H17" i="8"/>
  <c r="H18" i="8"/>
  <c r="Q9" i="9"/>
  <c r="Q10" i="9"/>
  <c r="N10" i="9"/>
  <c r="N9" i="9"/>
  <c r="H10" i="9"/>
  <c r="H9" i="9"/>
  <c r="Q10" i="8"/>
  <c r="Q9" i="8"/>
  <c r="N9" i="8"/>
  <c r="N10" i="8"/>
  <c r="H9" i="8"/>
  <c r="H10" i="8"/>
  <c r="Q74" i="9"/>
  <c r="Q73" i="9"/>
  <c r="N73" i="9"/>
  <c r="N74" i="9"/>
  <c r="H73" i="9"/>
  <c r="H74" i="9"/>
  <c r="Q73" i="8"/>
  <c r="Q74" i="8"/>
  <c r="N73" i="8"/>
  <c r="N74" i="8"/>
  <c r="H73" i="8"/>
  <c r="H74" i="8"/>
  <c r="Q57" i="9"/>
  <c r="Q58" i="9"/>
  <c r="N58" i="9"/>
  <c r="N57" i="9"/>
  <c r="H58" i="9"/>
  <c r="H57" i="9"/>
  <c r="Q57" i="8"/>
  <c r="Q58" i="8"/>
  <c r="N57" i="8"/>
  <c r="N58" i="8"/>
  <c r="H57" i="8"/>
  <c r="H58" i="8"/>
  <c r="T23" i="6"/>
  <c r="Q24" i="6"/>
  <c r="Q23" i="6"/>
  <c r="N24" i="6"/>
  <c r="N23" i="6"/>
  <c r="H24" i="6"/>
  <c r="H23" i="6"/>
  <c r="Q15" i="5"/>
  <c r="Q16" i="5"/>
  <c r="N15" i="5"/>
  <c r="H16" i="5"/>
  <c r="N16" i="5"/>
  <c r="H15" i="5"/>
  <c r="Q8" i="8"/>
  <c r="Q7" i="8"/>
  <c r="N8" i="8"/>
  <c r="N7" i="8"/>
  <c r="H8" i="8"/>
  <c r="H7" i="8"/>
  <c r="K72" i="5"/>
  <c r="Q71" i="5"/>
  <c r="Q72" i="5"/>
  <c r="N71" i="5"/>
  <c r="H72" i="5"/>
  <c r="N72" i="5"/>
  <c r="H71" i="5"/>
  <c r="Q64" i="6"/>
  <c r="Q63" i="6"/>
  <c r="N64" i="6"/>
  <c r="N63" i="6"/>
  <c r="H64" i="6"/>
  <c r="H63" i="6"/>
  <c r="Q56" i="6"/>
  <c r="Q55" i="6"/>
  <c r="N56" i="6"/>
  <c r="H56" i="6"/>
  <c r="H55" i="6"/>
  <c r="N55" i="6"/>
  <c r="T30" i="9"/>
  <c r="Q29" i="9"/>
  <c r="Q30" i="9"/>
  <c r="N30" i="9"/>
  <c r="H30" i="9"/>
  <c r="N29" i="9"/>
  <c r="H29" i="9"/>
  <c r="Q30" i="8"/>
  <c r="Q29" i="8"/>
  <c r="N29" i="8"/>
  <c r="N30" i="8"/>
  <c r="H29" i="8"/>
  <c r="H30" i="8"/>
  <c r="Q21" i="9"/>
  <c r="Q22" i="9"/>
  <c r="N22" i="9"/>
  <c r="N21" i="9"/>
  <c r="H21" i="9"/>
  <c r="H22" i="9"/>
  <c r="Q21" i="8"/>
  <c r="Q22" i="8"/>
  <c r="N21" i="8"/>
  <c r="N22" i="8"/>
  <c r="H21" i="8"/>
  <c r="H22" i="8"/>
  <c r="T14" i="9"/>
  <c r="Q14" i="9"/>
  <c r="Q13" i="9"/>
  <c r="N14" i="9"/>
  <c r="H13" i="9"/>
  <c r="H14" i="9"/>
  <c r="N13" i="9"/>
  <c r="Q13" i="8"/>
  <c r="Q14" i="8"/>
  <c r="N13" i="8"/>
  <c r="N14" i="8"/>
  <c r="H14" i="8"/>
  <c r="H13" i="8"/>
  <c r="T78" i="9"/>
  <c r="Q77" i="9"/>
  <c r="Q78" i="9"/>
  <c r="N77" i="9"/>
  <c r="N78" i="9"/>
  <c r="H77" i="9"/>
  <c r="H78" i="9"/>
  <c r="Q77" i="8"/>
  <c r="Q78" i="8"/>
  <c r="N77" i="8"/>
  <c r="N78" i="8"/>
  <c r="H78" i="8"/>
  <c r="H77" i="8"/>
  <c r="Q69" i="9"/>
  <c r="Q70" i="9"/>
  <c r="N70" i="9"/>
  <c r="N69" i="9"/>
  <c r="H70" i="9"/>
  <c r="H69" i="9"/>
  <c r="Q69" i="8"/>
  <c r="Q70" i="8"/>
  <c r="N69" i="8"/>
  <c r="N70" i="8"/>
  <c r="H69" i="8"/>
  <c r="H70" i="8"/>
  <c r="Q62" i="9"/>
  <c r="Q61" i="9"/>
  <c r="N62" i="9"/>
  <c r="H61" i="9"/>
  <c r="H62" i="9"/>
  <c r="N61" i="9"/>
  <c r="Q61" i="8"/>
  <c r="Q62" i="8"/>
  <c r="N61" i="8"/>
  <c r="N62" i="8"/>
  <c r="H62" i="8"/>
  <c r="H61" i="8"/>
  <c r="Q65" i="9"/>
  <c r="Q66" i="9"/>
  <c r="N66" i="9"/>
  <c r="H65" i="9"/>
  <c r="N65" i="9"/>
  <c r="H66" i="9"/>
  <c r="Q65" i="8"/>
  <c r="Q66" i="8"/>
  <c r="N65" i="8"/>
  <c r="N66" i="8"/>
  <c r="H66" i="8"/>
  <c r="H65" i="8"/>
  <c r="K28" i="9"/>
  <c r="Q28" i="9"/>
  <c r="Q27" i="9"/>
  <c r="N28" i="9"/>
  <c r="N27" i="9"/>
  <c r="H28" i="9"/>
  <c r="H27" i="9"/>
  <c r="Q28" i="8"/>
  <c r="Q27" i="8"/>
  <c r="N28" i="8"/>
  <c r="N27" i="8"/>
  <c r="H28" i="8"/>
  <c r="H27" i="8"/>
  <c r="Q20" i="9"/>
  <c r="Q19" i="9"/>
  <c r="N20" i="9"/>
  <c r="N19" i="9"/>
  <c r="H20" i="9"/>
  <c r="H19" i="9"/>
  <c r="Q20" i="8"/>
  <c r="Q19" i="8"/>
  <c r="N19" i="8"/>
  <c r="N20" i="8"/>
  <c r="H20" i="8"/>
  <c r="H19" i="8"/>
  <c r="Q12" i="9"/>
  <c r="Q11" i="9"/>
  <c r="N12" i="9"/>
  <c r="N11" i="9"/>
  <c r="H12" i="9"/>
  <c r="H11" i="9"/>
  <c r="Q12" i="8"/>
  <c r="Q11" i="8"/>
  <c r="N12" i="8"/>
  <c r="N11" i="8"/>
  <c r="H12" i="8"/>
  <c r="H11" i="8"/>
  <c r="Q76" i="9"/>
  <c r="Q75" i="9"/>
  <c r="N76" i="9"/>
  <c r="N75" i="9"/>
  <c r="H76" i="9"/>
  <c r="H75" i="9"/>
  <c r="Q75" i="8"/>
  <c r="Q76" i="8"/>
  <c r="H76" i="8"/>
  <c r="N76" i="8"/>
  <c r="N75" i="8"/>
  <c r="H75" i="8"/>
  <c r="Q68" i="9"/>
  <c r="Q67" i="9"/>
  <c r="N68" i="9"/>
  <c r="N67" i="9"/>
  <c r="H68" i="9"/>
  <c r="H67" i="9"/>
  <c r="Q67" i="8"/>
  <c r="Q68" i="8"/>
  <c r="N67" i="8"/>
  <c r="H68" i="8"/>
  <c r="N68" i="8"/>
  <c r="H67" i="8"/>
  <c r="Q60" i="9"/>
  <c r="Q59" i="9"/>
  <c r="N60" i="9"/>
  <c r="N59" i="9"/>
  <c r="H60" i="9"/>
  <c r="H59" i="9"/>
  <c r="Q59" i="8"/>
  <c r="Q60" i="8"/>
  <c r="H60" i="8"/>
  <c r="N60" i="8"/>
  <c r="N59" i="8"/>
  <c r="H59" i="8"/>
  <c r="Q49" i="6"/>
  <c r="Q50" i="6"/>
  <c r="N49" i="6"/>
  <c r="H50" i="6"/>
  <c r="N50" i="6"/>
  <c r="H49" i="6"/>
  <c r="T49" i="8"/>
  <c r="Q49" i="8"/>
  <c r="Q50" i="8"/>
  <c r="N49" i="8"/>
  <c r="N50" i="8"/>
  <c r="H50" i="8"/>
  <c r="H49" i="8"/>
  <c r="Q126" i="8"/>
  <c r="Q125" i="8"/>
  <c r="N126" i="8"/>
  <c r="N125" i="8"/>
  <c r="H126" i="8"/>
  <c r="H125" i="8"/>
  <c r="Q118" i="8"/>
  <c r="Q117" i="8"/>
  <c r="N118" i="8"/>
  <c r="N117" i="8"/>
  <c r="H117" i="8"/>
  <c r="H118" i="8"/>
  <c r="T109" i="8"/>
  <c r="Q110" i="8"/>
  <c r="Q109" i="8"/>
  <c r="N110" i="8"/>
  <c r="N109" i="8"/>
  <c r="H110" i="8"/>
  <c r="H109" i="8"/>
  <c r="Q102" i="8"/>
  <c r="Q101" i="8"/>
  <c r="N102" i="8"/>
  <c r="N101" i="8"/>
  <c r="H101" i="8"/>
  <c r="H102" i="8"/>
  <c r="Q85" i="8"/>
  <c r="Q86" i="8"/>
  <c r="N85" i="8"/>
  <c r="N86" i="8"/>
  <c r="H85" i="8"/>
  <c r="H86" i="8"/>
  <c r="Q123" i="5"/>
  <c r="Q124" i="5"/>
  <c r="N123" i="5"/>
  <c r="N124" i="5"/>
  <c r="H124" i="5"/>
  <c r="H123" i="5"/>
  <c r="T108" i="5"/>
  <c r="Q107" i="5"/>
  <c r="Q108" i="5"/>
  <c r="N107" i="5"/>
  <c r="N108" i="5"/>
  <c r="H108" i="5"/>
  <c r="H107" i="5"/>
  <c r="K92" i="5"/>
  <c r="Q91" i="5"/>
  <c r="Q92" i="5"/>
  <c r="N91" i="5"/>
  <c r="N92" i="5"/>
  <c r="H92" i="5"/>
  <c r="H91" i="5"/>
  <c r="Q50" i="5"/>
  <c r="Q49" i="5"/>
  <c r="N50" i="5"/>
  <c r="N49" i="5"/>
  <c r="H49" i="5"/>
  <c r="H50" i="5"/>
  <c r="Q34" i="5"/>
  <c r="Q33" i="5"/>
  <c r="N34" i="5"/>
  <c r="N33" i="5"/>
  <c r="H33" i="5"/>
  <c r="H34" i="5"/>
  <c r="Q95" i="8"/>
  <c r="Q96" i="8"/>
  <c r="H96" i="8"/>
  <c r="N96" i="8"/>
  <c r="N95" i="8"/>
  <c r="H95" i="8"/>
  <c r="Q79" i="8"/>
  <c r="Q80" i="8"/>
  <c r="H80" i="8"/>
  <c r="N80" i="8"/>
  <c r="N79" i="8"/>
  <c r="H79" i="8"/>
  <c r="Q51" i="5"/>
  <c r="Q52" i="5"/>
  <c r="N51" i="5"/>
  <c r="H52" i="5"/>
  <c r="H51" i="5"/>
  <c r="N52" i="5"/>
  <c r="Q52" i="8"/>
  <c r="Q51" i="8"/>
  <c r="N51" i="8"/>
  <c r="H52" i="8"/>
  <c r="N52" i="8"/>
  <c r="H51" i="8"/>
  <c r="Q47" i="5"/>
  <c r="Q48" i="5"/>
  <c r="N47" i="5"/>
  <c r="H48" i="5"/>
  <c r="H47" i="5"/>
  <c r="N48" i="5"/>
  <c r="Q48" i="8"/>
  <c r="Q47" i="8"/>
  <c r="H48" i="8"/>
  <c r="N48" i="8"/>
  <c r="N47" i="8"/>
  <c r="H47" i="8"/>
  <c r="Q43" i="5"/>
  <c r="Q44" i="5"/>
  <c r="N43" i="5"/>
  <c r="N44" i="5"/>
  <c r="H44" i="5"/>
  <c r="H43" i="5"/>
  <c r="Q44" i="8"/>
  <c r="Q43" i="8"/>
  <c r="H44" i="8"/>
  <c r="N44" i="8"/>
  <c r="N43" i="8"/>
  <c r="H43" i="8"/>
  <c r="Q39" i="5"/>
  <c r="Q40" i="5"/>
  <c r="N39" i="5"/>
  <c r="H40" i="5"/>
  <c r="N40" i="5"/>
  <c r="H39" i="5"/>
  <c r="Q40" i="8"/>
  <c r="Q39" i="8"/>
  <c r="N40" i="8"/>
  <c r="H40" i="8"/>
  <c r="N39" i="8"/>
  <c r="H39" i="8"/>
  <c r="Q35" i="5"/>
  <c r="Q36" i="5"/>
  <c r="N35" i="5"/>
  <c r="H36" i="5"/>
  <c r="N36" i="5"/>
  <c r="H35" i="5"/>
  <c r="Q36" i="8"/>
  <c r="Q35" i="8"/>
  <c r="N35" i="8"/>
  <c r="N36" i="8"/>
  <c r="H36" i="8"/>
  <c r="H35" i="8"/>
  <c r="T31" i="5"/>
  <c r="Q31" i="5"/>
  <c r="Q32" i="5"/>
  <c r="N31" i="5"/>
  <c r="H32" i="5"/>
  <c r="N32" i="5"/>
  <c r="H31" i="5"/>
  <c r="Q32" i="8"/>
  <c r="Q31" i="8"/>
  <c r="N32" i="8"/>
  <c r="N31" i="8"/>
  <c r="H32" i="8"/>
  <c r="H31" i="8"/>
  <c r="T45" i="6"/>
  <c r="Q46" i="6"/>
  <c r="Q45" i="6"/>
  <c r="N45" i="6"/>
  <c r="N46" i="6"/>
  <c r="H45" i="6"/>
  <c r="H46" i="6"/>
  <c r="N8" i="79"/>
  <c r="Q8" i="79"/>
  <c r="Q7" i="79"/>
  <c r="N7" i="79"/>
  <c r="K7" i="79"/>
  <c r="H8" i="79"/>
  <c r="K8" i="79"/>
  <c r="H7" i="79"/>
  <c r="Q24" i="8"/>
  <c r="Q23" i="8"/>
  <c r="N24" i="8"/>
  <c r="N23" i="8"/>
  <c r="H24" i="8"/>
  <c r="H23" i="8"/>
  <c r="Q16" i="9"/>
  <c r="Q15" i="9"/>
  <c r="N16" i="9"/>
  <c r="N15" i="9"/>
  <c r="H16" i="9"/>
  <c r="H15" i="9"/>
  <c r="Q7" i="5"/>
  <c r="Q8" i="5"/>
  <c r="N7" i="5"/>
  <c r="H8" i="5"/>
  <c r="N8" i="5"/>
  <c r="H7" i="5"/>
  <c r="Q8" i="9"/>
  <c r="Q7" i="9"/>
  <c r="N8" i="9"/>
  <c r="N7" i="9"/>
  <c r="H8" i="9"/>
  <c r="H7" i="9"/>
  <c r="Q72" i="9"/>
  <c r="Q71" i="9"/>
  <c r="N72" i="9"/>
  <c r="N71" i="9"/>
  <c r="H72" i="9"/>
  <c r="H71" i="9"/>
  <c r="Q63" i="8"/>
  <c r="Q64" i="8"/>
  <c r="H64" i="8"/>
  <c r="N64" i="8"/>
  <c r="N63" i="8"/>
  <c r="H63" i="8"/>
  <c r="Q55" i="8"/>
  <c r="Q56" i="8"/>
  <c r="N56" i="8"/>
  <c r="H56" i="8"/>
  <c r="N55" i="8"/>
  <c r="H55" i="8"/>
  <c r="T81" i="8"/>
  <c r="Q81" i="8"/>
  <c r="Q82" i="8"/>
  <c r="N81" i="8"/>
  <c r="N82" i="8"/>
  <c r="H82" i="8"/>
  <c r="H81" i="8"/>
  <c r="Q119" i="5"/>
  <c r="Q120" i="5"/>
  <c r="N119" i="5"/>
  <c r="H120" i="5"/>
  <c r="N120" i="5"/>
  <c r="H119" i="5"/>
  <c r="Q103" i="5"/>
  <c r="Q104" i="5"/>
  <c r="N103" i="5"/>
  <c r="H104" i="5"/>
  <c r="N104" i="5"/>
  <c r="H103" i="5"/>
  <c r="K88" i="5"/>
  <c r="Q87" i="5"/>
  <c r="Q88" i="5"/>
  <c r="N87" i="5"/>
  <c r="H88" i="5"/>
  <c r="N88" i="5"/>
  <c r="H87" i="5"/>
  <c r="Q46" i="5"/>
  <c r="Q45" i="5"/>
  <c r="N46" i="5"/>
  <c r="N45" i="5"/>
  <c r="H46" i="5"/>
  <c r="H45" i="5"/>
  <c r="T119" i="8"/>
  <c r="Q119" i="8"/>
  <c r="Q120" i="8"/>
  <c r="N119" i="8"/>
  <c r="H120" i="8"/>
  <c r="N120" i="8"/>
  <c r="H119" i="8"/>
  <c r="T111" i="8"/>
  <c r="Q111" i="8"/>
  <c r="Q112" i="8"/>
  <c r="N111" i="8"/>
  <c r="H112" i="8"/>
  <c r="N112" i="8"/>
  <c r="H111" i="8"/>
  <c r="Q103" i="8"/>
  <c r="Q104" i="8"/>
  <c r="N103" i="8"/>
  <c r="H104" i="8"/>
  <c r="N104" i="8"/>
  <c r="H103" i="8"/>
  <c r="K92" i="8"/>
  <c r="Q91" i="8"/>
  <c r="Q92" i="8"/>
  <c r="H92" i="8"/>
  <c r="N92" i="8"/>
  <c r="N91" i="8"/>
  <c r="H91" i="8"/>
  <c r="Q48" i="6"/>
  <c r="Q47" i="6"/>
  <c r="N48" i="6"/>
  <c r="N47" i="6"/>
  <c r="H48" i="6"/>
  <c r="H47" i="6"/>
  <c r="K40" i="6"/>
  <c r="Q40" i="6"/>
  <c r="Q39" i="6"/>
  <c r="N40" i="6"/>
  <c r="H40" i="6"/>
  <c r="N39" i="6"/>
  <c r="H39" i="6"/>
  <c r="Q32" i="6"/>
  <c r="Q31" i="6"/>
  <c r="N32" i="6"/>
  <c r="N31" i="6"/>
  <c r="H32" i="6"/>
  <c r="H31" i="6"/>
  <c r="Q54" i="79"/>
  <c r="Q53" i="79"/>
  <c r="N54" i="79"/>
  <c r="N53" i="79"/>
  <c r="K54" i="79"/>
  <c r="K53" i="79"/>
  <c r="H54" i="79"/>
  <c r="H53" i="79"/>
  <c r="Q38" i="6"/>
  <c r="Q37" i="6"/>
  <c r="N37" i="6"/>
  <c r="N38" i="6"/>
  <c r="H38" i="6"/>
  <c r="H37" i="6"/>
  <c r="Q26" i="77"/>
  <c r="Q25" i="77"/>
  <c r="N26" i="77"/>
  <c r="N25" i="77"/>
  <c r="K26" i="77"/>
  <c r="K25" i="77"/>
  <c r="H26" i="77"/>
  <c r="H25" i="77"/>
  <c r="Q26" i="6"/>
  <c r="Q25" i="6"/>
  <c r="N25" i="6"/>
  <c r="N26" i="6"/>
  <c r="H26" i="6"/>
  <c r="H25" i="6"/>
  <c r="Q26" i="5"/>
  <c r="Q25" i="5"/>
  <c r="N26" i="5"/>
  <c r="N25" i="5"/>
  <c r="H26" i="5"/>
  <c r="H25" i="5"/>
  <c r="Q17" i="6"/>
  <c r="Q18" i="6"/>
  <c r="N17" i="6"/>
  <c r="N18" i="6"/>
  <c r="H17" i="6"/>
  <c r="H18" i="6"/>
  <c r="Q18" i="5"/>
  <c r="Q17" i="5"/>
  <c r="N18" i="5"/>
  <c r="N17" i="5"/>
  <c r="H17" i="5"/>
  <c r="H18" i="5"/>
  <c r="Q9" i="6"/>
  <c r="Q10" i="6"/>
  <c r="N9" i="6"/>
  <c r="N10" i="6"/>
  <c r="H9" i="6"/>
  <c r="H10" i="6"/>
  <c r="Q10" i="5"/>
  <c r="Q9" i="5"/>
  <c r="N10" i="5"/>
  <c r="N9" i="5"/>
  <c r="H10" i="5"/>
  <c r="H9" i="5"/>
  <c r="Q73" i="6"/>
  <c r="Q74" i="6"/>
  <c r="S74" i="6" s="1"/>
  <c r="N73" i="6"/>
  <c r="N74" i="6"/>
  <c r="H74" i="6"/>
  <c r="H73" i="6"/>
  <c r="Q74" i="5"/>
  <c r="Q73" i="5"/>
  <c r="N74" i="5"/>
  <c r="N73" i="5"/>
  <c r="H74" i="5"/>
  <c r="H73" i="5"/>
  <c r="Q58" i="6"/>
  <c r="Q57" i="6"/>
  <c r="N57" i="6"/>
  <c r="N58" i="6"/>
  <c r="H57" i="6"/>
  <c r="H58" i="6"/>
  <c r="Q58" i="5"/>
  <c r="Q57" i="5"/>
  <c r="N58" i="5"/>
  <c r="N57" i="5"/>
  <c r="H58" i="5"/>
  <c r="H57" i="5"/>
  <c r="Q23" i="5"/>
  <c r="Q24" i="5"/>
  <c r="N23" i="5"/>
  <c r="H24" i="5"/>
  <c r="N24" i="5"/>
  <c r="H23" i="5"/>
  <c r="Q16" i="6"/>
  <c r="Q15" i="6"/>
  <c r="N16" i="6"/>
  <c r="N15" i="6"/>
  <c r="H16" i="6"/>
  <c r="H15" i="6"/>
  <c r="Q8" i="6"/>
  <c r="Q7" i="6"/>
  <c r="N8" i="6"/>
  <c r="H8" i="6"/>
  <c r="H7" i="6"/>
  <c r="N7" i="6"/>
  <c r="Q72" i="6"/>
  <c r="Q71" i="6"/>
  <c r="N72" i="6"/>
  <c r="N71" i="6"/>
  <c r="H72" i="6"/>
  <c r="H71" i="6"/>
  <c r="Q63" i="5"/>
  <c r="Q64" i="5"/>
  <c r="N63" i="5"/>
  <c r="H64" i="5"/>
  <c r="H63" i="5"/>
  <c r="N64" i="5"/>
  <c r="Q29" i="6"/>
  <c r="Q30" i="6"/>
  <c r="N29" i="6"/>
  <c r="N30" i="6"/>
  <c r="H29" i="6"/>
  <c r="H30" i="6"/>
  <c r="Q30" i="5"/>
  <c r="Q29" i="5"/>
  <c r="N30" i="5"/>
  <c r="N29" i="5"/>
  <c r="H29" i="5"/>
  <c r="H30" i="5"/>
  <c r="Q21" i="6"/>
  <c r="Q22" i="6"/>
  <c r="N21" i="6"/>
  <c r="N22" i="6"/>
  <c r="H21" i="6"/>
  <c r="H22" i="6"/>
  <c r="Q22" i="5"/>
  <c r="Q21" i="5"/>
  <c r="N22" i="5"/>
  <c r="N21" i="5"/>
  <c r="H22" i="5"/>
  <c r="H21" i="5"/>
  <c r="Q14" i="6"/>
  <c r="Q13" i="6"/>
  <c r="N13" i="6"/>
  <c r="N14" i="6"/>
  <c r="H14" i="6"/>
  <c r="H13" i="6"/>
  <c r="Q14" i="5"/>
  <c r="Q13" i="5"/>
  <c r="N14" i="5"/>
  <c r="N13" i="5"/>
  <c r="H13" i="5"/>
  <c r="H14" i="5"/>
  <c r="Q77" i="6"/>
  <c r="Q78" i="6"/>
  <c r="N77" i="6"/>
  <c r="N78" i="6"/>
  <c r="H77" i="6"/>
  <c r="H78" i="6"/>
  <c r="Q78" i="5"/>
  <c r="Q77" i="5"/>
  <c r="N78" i="5"/>
  <c r="N77" i="5"/>
  <c r="H78" i="5"/>
  <c r="H77" i="5"/>
  <c r="Q70" i="6"/>
  <c r="Q69" i="6"/>
  <c r="N69" i="6"/>
  <c r="N70" i="6"/>
  <c r="H69" i="6"/>
  <c r="H70" i="6"/>
  <c r="Q70" i="5"/>
  <c r="Q69" i="5"/>
  <c r="N70" i="5"/>
  <c r="N69" i="5"/>
  <c r="H70" i="5"/>
  <c r="H69" i="5"/>
  <c r="Q61" i="6"/>
  <c r="Q62" i="6"/>
  <c r="N61" i="6"/>
  <c r="N62" i="6"/>
  <c r="H62" i="6"/>
  <c r="H61" i="6"/>
  <c r="Q62" i="5"/>
  <c r="Q61" i="5"/>
  <c r="N62" i="5"/>
  <c r="N61" i="5"/>
  <c r="H62" i="5"/>
  <c r="H61" i="5"/>
  <c r="Q65" i="6"/>
  <c r="Q66" i="6"/>
  <c r="N65" i="6"/>
  <c r="N66" i="6"/>
  <c r="H65" i="6"/>
  <c r="H66" i="6"/>
  <c r="Q66" i="5"/>
  <c r="Q65" i="5"/>
  <c r="N66" i="5"/>
  <c r="N65" i="5"/>
  <c r="H66" i="5"/>
  <c r="H65" i="5"/>
  <c r="Q28" i="6"/>
  <c r="Q27" i="6"/>
  <c r="N27" i="6"/>
  <c r="H28" i="6"/>
  <c r="H27" i="6"/>
  <c r="N28" i="6"/>
  <c r="Q27" i="5"/>
  <c r="Q28" i="5"/>
  <c r="N27" i="5"/>
  <c r="N28" i="5"/>
  <c r="H28" i="5"/>
  <c r="H27" i="5"/>
  <c r="Q20" i="6"/>
  <c r="Q19" i="6"/>
  <c r="N20" i="6"/>
  <c r="N19" i="6"/>
  <c r="H20" i="6"/>
  <c r="H19" i="6"/>
  <c r="Q19" i="5"/>
  <c r="Q20" i="5"/>
  <c r="N19" i="5"/>
  <c r="H20" i="5"/>
  <c r="N20" i="5"/>
  <c r="H19" i="5"/>
  <c r="Q12" i="6"/>
  <c r="Q11" i="6"/>
  <c r="N11" i="6"/>
  <c r="H12" i="6"/>
  <c r="H11" i="6"/>
  <c r="N12" i="6"/>
  <c r="Q11" i="5"/>
  <c r="Q12" i="5"/>
  <c r="N11" i="5"/>
  <c r="N12" i="5"/>
  <c r="H12" i="5"/>
  <c r="H11" i="5"/>
  <c r="Q76" i="6"/>
  <c r="Q75" i="6"/>
  <c r="N75" i="6"/>
  <c r="N76" i="6"/>
  <c r="H76" i="6"/>
  <c r="H75" i="6"/>
  <c r="Q75" i="5"/>
  <c r="Q76" i="5"/>
  <c r="N75" i="5"/>
  <c r="N76" i="5"/>
  <c r="H76" i="5"/>
  <c r="H75" i="5"/>
  <c r="Q68" i="6"/>
  <c r="Q67" i="6"/>
  <c r="N68" i="6"/>
  <c r="N67" i="6"/>
  <c r="H68" i="6"/>
  <c r="H67" i="6"/>
  <c r="Q67" i="5"/>
  <c r="Q68" i="5"/>
  <c r="N67" i="5"/>
  <c r="H68" i="5"/>
  <c r="H67" i="5"/>
  <c r="N68" i="5"/>
  <c r="Q60" i="6"/>
  <c r="Q59" i="6"/>
  <c r="N59" i="6"/>
  <c r="H60" i="6"/>
  <c r="N60" i="6"/>
  <c r="H59" i="6"/>
  <c r="Q59" i="5"/>
  <c r="Q60" i="5"/>
  <c r="N59" i="5"/>
  <c r="N60" i="5"/>
  <c r="H60" i="5"/>
  <c r="H59" i="5"/>
  <c r="Q36" i="76"/>
  <c r="S36" i="76" s="1"/>
  <c r="N36" i="76"/>
  <c r="Q35" i="76"/>
  <c r="N35" i="76"/>
  <c r="K35" i="76"/>
  <c r="H35" i="76"/>
  <c r="K36" i="76"/>
  <c r="H36" i="76"/>
  <c r="Q74" i="78"/>
  <c r="Q73" i="78"/>
  <c r="N74" i="78"/>
  <c r="N73" i="78"/>
  <c r="K74" i="78"/>
  <c r="H74" i="78"/>
  <c r="K73" i="78"/>
  <c r="H73" i="78"/>
  <c r="Q30" i="78"/>
  <c r="Q29" i="78"/>
  <c r="N30" i="78"/>
  <c r="N29" i="78"/>
  <c r="K30" i="78"/>
  <c r="H30" i="78"/>
  <c r="K29" i="78"/>
  <c r="H29" i="78"/>
  <c r="Q22" i="78"/>
  <c r="Q21" i="78"/>
  <c r="N22" i="78"/>
  <c r="N21" i="78"/>
  <c r="K22" i="78"/>
  <c r="H22" i="78"/>
  <c r="K21" i="78"/>
  <c r="H21" i="78"/>
  <c r="Q14" i="78"/>
  <c r="Q13" i="78"/>
  <c r="N14" i="78"/>
  <c r="N13" i="78"/>
  <c r="K14" i="78"/>
  <c r="M14" i="78" s="1"/>
  <c r="H14" i="78"/>
  <c r="K13" i="78"/>
  <c r="M13" i="78" s="1"/>
  <c r="H13" i="78"/>
  <c r="Q46" i="78"/>
  <c r="Q45" i="78"/>
  <c r="N46" i="78"/>
  <c r="N45" i="78"/>
  <c r="K46" i="78"/>
  <c r="H46" i="78"/>
  <c r="K45" i="78"/>
  <c r="H45" i="78"/>
  <c r="N52" i="78"/>
  <c r="P52" i="78" s="1"/>
  <c r="N51" i="78"/>
  <c r="Q52" i="78"/>
  <c r="Q51" i="78"/>
  <c r="K51" i="78"/>
  <c r="M51" i="78" s="1"/>
  <c r="H51" i="78"/>
  <c r="K52" i="78"/>
  <c r="H52" i="78"/>
  <c r="N35" i="78"/>
  <c r="Q36" i="78"/>
  <c r="Q35" i="78"/>
  <c r="S35" i="78" s="1"/>
  <c r="N36" i="78"/>
  <c r="K35" i="78"/>
  <c r="H35" i="78"/>
  <c r="K36" i="78"/>
  <c r="H36" i="78"/>
  <c r="Q70" i="78"/>
  <c r="Q69" i="78"/>
  <c r="N70" i="78"/>
  <c r="N69" i="78"/>
  <c r="K70" i="78"/>
  <c r="H70" i="78"/>
  <c r="K69" i="78"/>
  <c r="H69" i="78"/>
  <c r="N60" i="78"/>
  <c r="N59" i="78"/>
  <c r="Q60" i="78"/>
  <c r="Q59" i="78"/>
  <c r="K59" i="78"/>
  <c r="H59" i="78"/>
  <c r="K60" i="78"/>
  <c r="H60" i="78"/>
  <c r="N48" i="78"/>
  <c r="N47" i="78"/>
  <c r="Q48" i="78"/>
  <c r="Q47" i="78"/>
  <c r="K47" i="78"/>
  <c r="H47" i="78"/>
  <c r="K48" i="78"/>
  <c r="H48" i="78"/>
  <c r="J45" i="6"/>
  <c r="K45" i="6"/>
  <c r="K54" i="6"/>
  <c r="K53" i="6"/>
  <c r="T53" i="6"/>
  <c r="V53" i="6" s="1"/>
  <c r="J54" i="6"/>
  <c r="T54" i="6"/>
  <c r="T46" i="6"/>
  <c r="J30" i="6"/>
  <c r="P29" i="6"/>
  <c r="P30" i="6"/>
  <c r="K29" i="6"/>
  <c r="S21" i="6"/>
  <c r="T22" i="6"/>
  <c r="V22" i="6" s="1"/>
  <c r="G29" i="79"/>
  <c r="G21" i="77"/>
  <c r="S14" i="78"/>
  <c r="P14" i="78"/>
  <c r="P13" i="78"/>
  <c r="J14" i="78"/>
  <c r="S13" i="78"/>
  <c r="J13" i="78"/>
  <c r="G53" i="76"/>
  <c r="G45" i="79"/>
  <c r="G37" i="77"/>
  <c r="G77" i="77"/>
  <c r="G69" i="76"/>
  <c r="G61" i="76"/>
  <c r="G49" i="77"/>
  <c r="G65" i="77"/>
  <c r="G27" i="76"/>
  <c r="G19" i="76"/>
  <c r="G11" i="76"/>
  <c r="G51" i="76"/>
  <c r="G43" i="76"/>
  <c r="M36" i="76"/>
  <c r="J36" i="76"/>
  <c r="P35" i="76"/>
  <c r="S35" i="76"/>
  <c r="J35" i="76"/>
  <c r="M35" i="76"/>
  <c r="P36" i="76"/>
  <c r="G75" i="76"/>
  <c r="G67" i="76"/>
  <c r="G59" i="76"/>
  <c r="G17" i="79"/>
  <c r="G57" i="79"/>
  <c r="G9" i="78"/>
  <c r="G41" i="77"/>
  <c r="G73" i="76"/>
  <c r="G23" i="79"/>
  <c r="G15" i="79"/>
  <c r="G7" i="76"/>
  <c r="M47" i="79"/>
  <c r="J47" i="79"/>
  <c r="J48" i="79"/>
  <c r="S47" i="79"/>
  <c r="P47" i="79"/>
  <c r="P48" i="79"/>
  <c r="S48" i="79"/>
  <c r="M48" i="79"/>
  <c r="S40" i="79"/>
  <c r="J40" i="79"/>
  <c r="P39" i="79"/>
  <c r="J39" i="79"/>
  <c r="S39" i="79"/>
  <c r="P40" i="79"/>
  <c r="M40" i="79"/>
  <c r="M39" i="79"/>
  <c r="G31" i="79"/>
  <c r="G71" i="79"/>
  <c r="G63" i="79"/>
  <c r="G55" i="76"/>
  <c r="G25" i="79"/>
  <c r="G33" i="78"/>
  <c r="G29" i="76"/>
  <c r="G21" i="79"/>
  <c r="G13" i="77"/>
  <c r="G53" i="78"/>
  <c r="G45" i="76"/>
  <c r="M38" i="79"/>
  <c r="S37" i="79"/>
  <c r="J37" i="79"/>
  <c r="M37" i="79"/>
  <c r="S38" i="79"/>
  <c r="P38" i="79"/>
  <c r="P37" i="79"/>
  <c r="J38" i="79"/>
  <c r="G77" i="78"/>
  <c r="G69" i="79"/>
  <c r="G61" i="79"/>
  <c r="G49" i="76"/>
  <c r="G65" i="79"/>
  <c r="G27" i="78"/>
  <c r="G19" i="78"/>
  <c r="G11" i="78"/>
  <c r="S52" i="78"/>
  <c r="P51" i="78"/>
  <c r="J52" i="78"/>
  <c r="J51" i="78"/>
  <c r="S51" i="78"/>
  <c r="M52" i="78"/>
  <c r="G43" i="78"/>
  <c r="S36" i="78"/>
  <c r="P36" i="78"/>
  <c r="M36" i="78"/>
  <c r="J36" i="78"/>
  <c r="P35" i="78"/>
  <c r="J35" i="78"/>
  <c r="M35" i="78"/>
  <c r="G75" i="77"/>
  <c r="G67" i="77"/>
  <c r="G59" i="77"/>
  <c r="G17" i="77"/>
  <c r="G57" i="76"/>
  <c r="G9" i="79"/>
  <c r="G41" i="78"/>
  <c r="G73" i="77"/>
  <c r="G23" i="76"/>
  <c r="G15" i="76"/>
  <c r="M7" i="79"/>
  <c r="J7" i="79"/>
  <c r="J8" i="79"/>
  <c r="S7" i="79"/>
  <c r="P7" i="79"/>
  <c r="M8" i="79"/>
  <c r="S8" i="79"/>
  <c r="P8" i="79"/>
  <c r="G47" i="76"/>
  <c r="G39" i="76"/>
  <c r="G31" i="76"/>
  <c r="G71" i="76"/>
  <c r="G63" i="76"/>
  <c r="G55" i="79"/>
  <c r="G25" i="76"/>
  <c r="S34" i="79"/>
  <c r="J34" i="79"/>
  <c r="J33" i="79"/>
  <c r="S33" i="79"/>
  <c r="P33" i="79"/>
  <c r="P34" i="79"/>
  <c r="M34" i="79"/>
  <c r="M33" i="79"/>
  <c r="S30" i="78"/>
  <c r="P30" i="78"/>
  <c r="S29" i="78"/>
  <c r="M30" i="78"/>
  <c r="J30" i="78"/>
  <c r="P29" i="78"/>
  <c r="J29" i="78"/>
  <c r="M29" i="78"/>
  <c r="G21" i="76"/>
  <c r="G13" i="79"/>
  <c r="G53" i="77"/>
  <c r="J46" i="78"/>
  <c r="S46" i="78"/>
  <c r="P46" i="78"/>
  <c r="S45" i="78"/>
  <c r="M46" i="78"/>
  <c r="J45" i="78"/>
  <c r="M45" i="78"/>
  <c r="P45" i="78"/>
  <c r="G37" i="76"/>
  <c r="G77" i="79"/>
  <c r="G69" i="77"/>
  <c r="G61" i="77"/>
  <c r="S49" i="79"/>
  <c r="P49" i="79"/>
  <c r="J50" i="79"/>
  <c r="M50" i="79"/>
  <c r="P50" i="79"/>
  <c r="M49" i="79"/>
  <c r="J49" i="79"/>
  <c r="S50" i="79"/>
  <c r="G65" i="78"/>
  <c r="G27" i="77"/>
  <c r="G19" i="77"/>
  <c r="G11" i="77"/>
  <c r="G51" i="77"/>
  <c r="G43" i="77"/>
  <c r="G35" i="77"/>
  <c r="G75" i="78"/>
  <c r="G67" i="78"/>
  <c r="P60" i="78"/>
  <c r="S59" i="78"/>
  <c r="J60" i="78"/>
  <c r="P59" i="78"/>
  <c r="M60" i="78"/>
  <c r="M59" i="78"/>
  <c r="J59" i="78"/>
  <c r="S60" i="78"/>
  <c r="G17" i="78"/>
  <c r="G57" i="77"/>
  <c r="G9" i="76"/>
  <c r="G41" i="76"/>
  <c r="S74" i="78"/>
  <c r="S73" i="78"/>
  <c r="P73" i="78"/>
  <c r="M74" i="78"/>
  <c r="M73" i="78"/>
  <c r="P74" i="78"/>
  <c r="J73" i="78"/>
  <c r="J74" i="78"/>
  <c r="G23" i="77"/>
  <c r="G15" i="77"/>
  <c r="G7" i="78"/>
  <c r="S48" i="78"/>
  <c r="M48" i="78"/>
  <c r="P47" i="78"/>
  <c r="J48" i="78"/>
  <c r="J47" i="78"/>
  <c r="M47" i="78"/>
  <c r="P48" i="78"/>
  <c r="S47" i="78"/>
  <c r="G39" i="78"/>
  <c r="G31" i="77"/>
  <c r="G71" i="77"/>
  <c r="G63" i="77"/>
  <c r="G55" i="77"/>
  <c r="S25" i="77"/>
  <c r="P25" i="77"/>
  <c r="M25" i="77"/>
  <c r="J25" i="77"/>
  <c r="S26" i="77"/>
  <c r="P26" i="77"/>
  <c r="M26" i="77"/>
  <c r="J26" i="77"/>
  <c r="G33" i="76"/>
  <c r="G29" i="77"/>
  <c r="S22" i="78"/>
  <c r="P22" i="78"/>
  <c r="P21" i="78"/>
  <c r="S21" i="78"/>
  <c r="M22" i="78"/>
  <c r="J22" i="78"/>
  <c r="J21" i="78"/>
  <c r="M21" i="78"/>
  <c r="G13" i="76"/>
  <c r="S53" i="79"/>
  <c r="P53" i="79"/>
  <c r="J54" i="79"/>
  <c r="M54" i="79"/>
  <c r="P54" i="79"/>
  <c r="S54" i="79"/>
  <c r="M53" i="79"/>
  <c r="J53" i="79"/>
  <c r="G45" i="77"/>
  <c r="G37" i="78"/>
  <c r="G77" i="76"/>
  <c r="P69" i="78"/>
  <c r="M69" i="78"/>
  <c r="J70" i="78"/>
  <c r="S70" i="78"/>
  <c r="M70" i="78"/>
  <c r="S69" i="78"/>
  <c r="P70" i="78"/>
  <c r="J69" i="78"/>
  <c r="G61" i="78"/>
  <c r="G49" i="78"/>
  <c r="G65" i="76"/>
  <c r="G27" i="79"/>
  <c r="G19" i="79"/>
  <c r="G11" i="79"/>
  <c r="S51" i="79"/>
  <c r="P51" i="79"/>
  <c r="J52" i="79"/>
  <c r="M52" i="79"/>
  <c r="P52" i="79"/>
  <c r="S52" i="79"/>
  <c r="M51" i="79"/>
  <c r="J51" i="79"/>
  <c r="G43" i="79"/>
  <c r="S36" i="79"/>
  <c r="P36" i="79"/>
  <c r="J35" i="79"/>
  <c r="M35" i="79"/>
  <c r="P35" i="79"/>
  <c r="J36" i="79"/>
  <c r="M36" i="79"/>
  <c r="S35" i="79"/>
  <c r="G75" i="79"/>
  <c r="G67" i="79"/>
  <c r="G59" i="79"/>
  <c r="G17" i="76"/>
  <c r="G57" i="78"/>
  <c r="G9" i="77"/>
  <c r="S42" i="79"/>
  <c r="J42" i="79"/>
  <c r="J41" i="79"/>
  <c r="S41" i="79"/>
  <c r="P41" i="79"/>
  <c r="P42" i="79"/>
  <c r="M42" i="79"/>
  <c r="M41" i="79"/>
  <c r="G73" i="79"/>
  <c r="G23" i="78"/>
  <c r="G15" i="78"/>
  <c r="G7" i="77"/>
  <c r="G47" i="77"/>
  <c r="G39" i="77"/>
  <c r="G31" i="78"/>
  <c r="G71" i="78"/>
  <c r="G63" i="78"/>
  <c r="G55" i="78"/>
  <c r="G25" i="78"/>
  <c r="G33" i="77"/>
  <c r="W103" i="4"/>
  <c r="W79" i="4"/>
  <c r="K7" i="4"/>
  <c r="P8" i="9"/>
  <c r="J7" i="9"/>
  <c r="V117" i="5"/>
  <c r="S117" i="5"/>
  <c r="S10" i="5"/>
  <c r="P103" i="5"/>
  <c r="P83" i="5"/>
  <c r="J31" i="4"/>
  <c r="S14" i="5"/>
  <c r="J16" i="5"/>
  <c r="S24" i="5"/>
  <c r="T24" i="5"/>
  <c r="E35" i="8"/>
  <c r="J51" i="4"/>
  <c r="J41" i="4"/>
  <c r="J73" i="4"/>
  <c r="J71" i="4"/>
  <c r="J57" i="4"/>
  <c r="J58" i="4"/>
  <c r="J63" i="4"/>
  <c r="J59" i="4"/>
  <c r="J67" i="4"/>
  <c r="J45" i="4"/>
  <c r="J35" i="4"/>
  <c r="J62" i="4"/>
  <c r="S59" i="9"/>
  <c r="J43" i="4"/>
  <c r="J76" i="4"/>
  <c r="J68" i="4"/>
  <c r="J60" i="4"/>
  <c r="J52" i="4"/>
  <c r="J44" i="4"/>
  <c r="J36" i="4"/>
  <c r="S64" i="6"/>
  <c r="J44" i="6"/>
  <c r="P55" i="6"/>
  <c r="P31" i="6"/>
  <c r="T32" i="6"/>
  <c r="V32" i="6" s="1"/>
  <c r="P19" i="5"/>
  <c r="T20" i="5"/>
  <c r="V20" i="5" s="1"/>
  <c r="T15" i="5"/>
  <c r="V15" i="5" s="1"/>
  <c r="K28" i="5"/>
  <c r="M28" i="5" s="1"/>
  <c r="J12" i="5"/>
  <c r="J60" i="6"/>
  <c r="J28" i="5"/>
  <c r="K12" i="5"/>
  <c r="M12" i="5" s="1"/>
  <c r="T87" i="5"/>
  <c r="V87" i="5" s="1"/>
  <c r="K74" i="5"/>
  <c r="M74" i="5" s="1"/>
  <c r="P12" i="5"/>
  <c r="S68" i="6"/>
  <c r="V70" i="6"/>
  <c r="V54" i="6"/>
  <c r="V73" i="8"/>
  <c r="E39" i="8"/>
  <c r="S55" i="9"/>
  <c r="T64" i="5"/>
  <c r="V64" i="5" s="1"/>
  <c r="T63" i="5"/>
  <c r="V63" i="5" s="1"/>
  <c r="K12" i="8"/>
  <c r="M12" i="8" s="1"/>
  <c r="P115" i="5"/>
  <c r="J17" i="5"/>
  <c r="S110" i="5"/>
  <c r="M38" i="6"/>
  <c r="P72" i="5"/>
  <c r="P19" i="6"/>
  <c r="K120" i="8"/>
  <c r="M120" i="8" s="1"/>
  <c r="J109" i="5"/>
  <c r="P110" i="5"/>
  <c r="S70" i="6"/>
  <c r="S54" i="6"/>
  <c r="S17" i="5"/>
  <c r="J71" i="5"/>
  <c r="T56" i="5"/>
  <c r="V56" i="5" s="1"/>
  <c r="J14" i="9"/>
  <c r="E51" i="8"/>
  <c r="K27" i="5"/>
  <c r="M27" i="5" s="1"/>
  <c r="J20" i="5"/>
  <c r="P14" i="5"/>
  <c r="P15" i="5"/>
  <c r="S20" i="5"/>
  <c r="T27" i="5"/>
  <c r="V27" i="5" s="1"/>
  <c r="V125" i="5"/>
  <c r="S125" i="5"/>
  <c r="P117" i="5"/>
  <c r="M117" i="5"/>
  <c r="V118" i="5"/>
  <c r="T112" i="5"/>
  <c r="V112" i="5" s="1"/>
  <c r="M110" i="5"/>
  <c r="J110" i="5"/>
  <c r="S57" i="5"/>
  <c r="J14" i="5"/>
  <c r="K11" i="5"/>
  <c r="M11" i="5" s="1"/>
  <c r="S11" i="5"/>
  <c r="J70" i="6"/>
  <c r="J62" i="6"/>
  <c r="P38" i="6"/>
  <c r="J60" i="8"/>
  <c r="K33" i="9"/>
  <c r="M33" i="9" s="1"/>
  <c r="J117" i="5"/>
  <c r="S118" i="5"/>
  <c r="P118" i="5"/>
  <c r="V109" i="5"/>
  <c r="S109" i="5"/>
  <c r="T22" i="5"/>
  <c r="V22" i="5" s="1"/>
  <c r="M70" i="6"/>
  <c r="M54" i="6"/>
  <c r="S38" i="6"/>
  <c r="S50" i="9"/>
  <c r="J29" i="5"/>
  <c r="J24" i="5"/>
  <c r="T16" i="5"/>
  <c r="V16" i="5" s="1"/>
  <c r="J11" i="5"/>
  <c r="J19" i="5"/>
  <c r="K24" i="5"/>
  <c r="M24" i="5" s="1"/>
  <c r="J125" i="5"/>
  <c r="S126" i="5"/>
  <c r="P126" i="5"/>
  <c r="P119" i="5"/>
  <c r="M118" i="5"/>
  <c r="J118" i="5"/>
  <c r="P109" i="5"/>
  <c r="M109" i="5"/>
  <c r="V110" i="5"/>
  <c r="T104" i="5"/>
  <c r="V104" i="5" s="1"/>
  <c r="S42" i="5"/>
  <c r="S23" i="5"/>
  <c r="P70" i="6"/>
  <c r="P62" i="6"/>
  <c r="P54" i="6"/>
  <c r="J38" i="6"/>
  <c r="J62" i="9"/>
  <c r="J34" i="9"/>
  <c r="K34" i="5"/>
  <c r="M34" i="5" s="1"/>
  <c r="K104" i="8"/>
  <c r="M104" i="8" s="1"/>
  <c r="J49" i="9"/>
  <c r="T25" i="9"/>
  <c r="V25" i="9" s="1"/>
  <c r="S70" i="9"/>
  <c r="K13" i="9"/>
  <c r="M13" i="9" s="1"/>
  <c r="T116" i="5"/>
  <c r="V116" i="5" s="1"/>
  <c r="P111" i="5"/>
  <c r="P99" i="5"/>
  <c r="T95" i="5"/>
  <c r="V95" i="5" s="1"/>
  <c r="T84" i="5"/>
  <c r="V84" i="5" s="1"/>
  <c r="P80" i="5"/>
  <c r="K69" i="5"/>
  <c r="M69" i="5" s="1"/>
  <c r="J62" i="5"/>
  <c r="K50" i="5"/>
  <c r="M50" i="5" s="1"/>
  <c r="T33" i="5"/>
  <c r="V33" i="5" s="1"/>
  <c r="P68" i="6"/>
  <c r="J43" i="6"/>
  <c r="S20" i="6"/>
  <c r="K111" i="8"/>
  <c r="M111" i="8" s="1"/>
  <c r="J80" i="8"/>
  <c r="K36" i="8"/>
  <c r="M36" i="8" s="1"/>
  <c r="P77" i="9"/>
  <c r="P32" i="9"/>
  <c r="S42" i="9"/>
  <c r="S25" i="9"/>
  <c r="P69" i="9"/>
  <c r="P13" i="9"/>
  <c r="E31" i="8"/>
  <c r="P112" i="5"/>
  <c r="J79" i="5"/>
  <c r="K49" i="5"/>
  <c r="M49" i="5" s="1"/>
  <c r="J64" i="8"/>
  <c r="K62" i="9"/>
  <c r="M62" i="9" s="1"/>
  <c r="J37" i="9"/>
  <c r="S33" i="5"/>
  <c r="K115" i="5"/>
  <c r="M115" i="5" s="1"/>
  <c r="J111" i="5"/>
  <c r="T100" i="5"/>
  <c r="V100" i="5" s="1"/>
  <c r="P96" i="5"/>
  <c r="S70" i="5"/>
  <c r="S62" i="5"/>
  <c r="P54" i="5"/>
  <c r="K39" i="5"/>
  <c r="M39" i="5" s="1"/>
  <c r="P50" i="6"/>
  <c r="P18" i="6"/>
  <c r="S60" i="6"/>
  <c r="J88" i="8"/>
  <c r="P74" i="9"/>
  <c r="J51" i="9"/>
  <c r="T50" i="9"/>
  <c r="V50" i="9" s="1"/>
  <c r="K30" i="9"/>
  <c r="M30" i="9" s="1"/>
  <c r="S10" i="9"/>
  <c r="T22" i="9"/>
  <c r="V22" i="9" s="1"/>
  <c r="S26" i="6"/>
  <c r="S10" i="6"/>
  <c r="S69" i="8"/>
  <c r="J124" i="5"/>
  <c r="P68" i="5"/>
  <c r="S26" i="5"/>
  <c r="J61" i="6"/>
  <c r="T26" i="5"/>
  <c r="V26" i="5" s="1"/>
  <c r="J10" i="6"/>
  <c r="K111" i="5"/>
  <c r="M111" i="5" s="1"/>
  <c r="S95" i="5"/>
  <c r="J80" i="5"/>
  <c r="S80" i="5"/>
  <c r="K70" i="5"/>
  <c r="M70" i="5" s="1"/>
  <c r="T70" i="5"/>
  <c r="V70" i="5" s="1"/>
  <c r="T61" i="5"/>
  <c r="V61" i="5" s="1"/>
  <c r="S60" i="5"/>
  <c r="T51" i="5"/>
  <c r="V51" i="5" s="1"/>
  <c r="T46" i="5"/>
  <c r="V46" i="5" s="1"/>
  <c r="T36" i="5"/>
  <c r="V36" i="5" s="1"/>
  <c r="J31" i="5"/>
  <c r="S22" i="5"/>
  <c r="P48" i="6"/>
  <c r="S8" i="6"/>
  <c r="J52" i="8"/>
  <c r="S24" i="8"/>
  <c r="S74" i="9"/>
  <c r="S73" i="9"/>
  <c r="T49" i="9"/>
  <c r="V49" i="9" s="1"/>
  <c r="T45" i="9"/>
  <c r="V45" i="9" s="1"/>
  <c r="S34" i="9"/>
  <c r="K26" i="9"/>
  <c r="M26" i="9" s="1"/>
  <c r="S14" i="9"/>
  <c r="K69" i="9"/>
  <c r="M69" i="9" s="1"/>
  <c r="P38" i="9"/>
  <c r="P21" i="9"/>
  <c r="J9" i="9"/>
  <c r="M72" i="5"/>
  <c r="P39" i="6"/>
  <c r="S112" i="5"/>
  <c r="K95" i="5"/>
  <c r="M95" i="5" s="1"/>
  <c r="K96" i="5"/>
  <c r="M96" i="5" s="1"/>
  <c r="K79" i="5"/>
  <c r="M79" i="5" s="1"/>
  <c r="K80" i="5"/>
  <c r="M80" i="5" s="1"/>
  <c r="T76" i="5"/>
  <c r="V76" i="5" s="1"/>
  <c r="P69" i="5"/>
  <c r="P70" i="5"/>
  <c r="P61" i="5"/>
  <c r="P62" i="5"/>
  <c r="S47" i="5"/>
  <c r="P35" i="5"/>
  <c r="T34" i="5"/>
  <c r="V34" i="5" s="1"/>
  <c r="K21" i="5"/>
  <c r="M21" i="5" s="1"/>
  <c r="T21" i="5"/>
  <c r="V21" i="5" s="1"/>
  <c r="S58" i="6"/>
  <c r="S119" i="8"/>
  <c r="K96" i="8"/>
  <c r="M96" i="8" s="1"/>
  <c r="P72" i="8"/>
  <c r="J82" i="8"/>
  <c r="P29" i="8"/>
  <c r="K58" i="8"/>
  <c r="M58" i="8" s="1"/>
  <c r="T73" i="9"/>
  <c r="V73" i="9" s="1"/>
  <c r="K58" i="9"/>
  <c r="M58" i="9" s="1"/>
  <c r="K49" i="9"/>
  <c r="M49" i="9" s="1"/>
  <c r="J45" i="9"/>
  <c r="T37" i="9"/>
  <c r="V37" i="9" s="1"/>
  <c r="K29" i="9"/>
  <c r="M29" i="9" s="1"/>
  <c r="S18" i="9"/>
  <c r="J10" i="9"/>
  <c r="P42" i="9"/>
  <c r="P22" i="9"/>
  <c r="T9" i="9"/>
  <c r="V9" i="9" s="1"/>
  <c r="P71" i="6"/>
  <c r="K81" i="8"/>
  <c r="M81" i="8" s="1"/>
  <c r="T10" i="8"/>
  <c r="V10" i="8" s="1"/>
  <c r="P51" i="6"/>
  <c r="J21" i="6"/>
  <c r="J115" i="5"/>
  <c r="P116" i="5"/>
  <c r="J99" i="5"/>
  <c r="T83" i="5"/>
  <c r="V83" i="5" s="1"/>
  <c r="K45" i="5"/>
  <c r="M45" i="5" s="1"/>
  <c r="T76" i="6"/>
  <c r="V76" i="6" s="1"/>
  <c r="P60" i="6"/>
  <c r="P34" i="6"/>
  <c r="S18" i="6"/>
  <c r="K72" i="6"/>
  <c r="M72" i="6" s="1"/>
  <c r="T67" i="6"/>
  <c r="V67" i="6" s="1"/>
  <c r="K60" i="6"/>
  <c r="M60" i="6" s="1"/>
  <c r="T44" i="6"/>
  <c r="V44" i="6" s="1"/>
  <c r="J25" i="8"/>
  <c r="K90" i="8"/>
  <c r="M90" i="8" s="1"/>
  <c r="T30" i="8"/>
  <c r="V30" i="8" s="1"/>
  <c r="T77" i="9"/>
  <c r="V77" i="9" s="1"/>
  <c r="J73" i="9"/>
  <c r="J58" i="9"/>
  <c r="K24" i="9"/>
  <c r="M24" i="9" s="1"/>
  <c r="J50" i="9"/>
  <c r="K45" i="9"/>
  <c r="M45" i="9" s="1"/>
  <c r="K37" i="9"/>
  <c r="M37" i="9" s="1"/>
  <c r="P33" i="9"/>
  <c r="J25" i="9"/>
  <c r="J70" i="9"/>
  <c r="T70" i="9"/>
  <c r="V70" i="9" s="1"/>
  <c r="J30" i="9"/>
  <c r="K21" i="9"/>
  <c r="M21" i="9" s="1"/>
  <c r="K9" i="9"/>
  <c r="M9" i="9" s="1"/>
  <c r="P37" i="6"/>
  <c r="V78" i="5"/>
  <c r="T123" i="5"/>
  <c r="V123" i="5" s="1"/>
  <c r="J100" i="5"/>
  <c r="P67" i="5"/>
  <c r="S54" i="5"/>
  <c r="T18" i="5"/>
  <c r="V18" i="5" s="1"/>
  <c r="J68" i="6"/>
  <c r="J56" i="6"/>
  <c r="S42" i="6"/>
  <c r="J26" i="6"/>
  <c r="S11" i="6"/>
  <c r="P12" i="6"/>
  <c r="J98" i="8"/>
  <c r="K65" i="8"/>
  <c r="K48" i="9"/>
  <c r="M48" i="9" s="1"/>
  <c r="P13" i="6"/>
  <c r="J104" i="8"/>
  <c r="S80" i="8"/>
  <c r="P87" i="5"/>
  <c r="K56" i="5"/>
  <c r="M56" i="5" s="1"/>
  <c r="T41" i="5"/>
  <c r="V41" i="5" s="1"/>
  <c r="S37" i="5"/>
  <c r="S35" i="5"/>
  <c r="J58" i="6"/>
  <c r="J42" i="6"/>
  <c r="K26" i="6"/>
  <c r="M26" i="6" s="1"/>
  <c r="K10" i="6"/>
  <c r="M10" i="6" s="1"/>
  <c r="T63" i="6"/>
  <c r="V63" i="6" s="1"/>
  <c r="P119" i="8"/>
  <c r="P104" i="8"/>
  <c r="P88" i="8"/>
  <c r="S72" i="8"/>
  <c r="K44" i="8"/>
  <c r="K16" i="8"/>
  <c r="M16" i="8" s="1"/>
  <c r="S71" i="6"/>
  <c r="M76" i="5"/>
  <c r="M36" i="9"/>
  <c r="M27" i="6"/>
  <c r="K31" i="5"/>
  <c r="M31" i="5" s="1"/>
  <c r="T120" i="5"/>
  <c r="V120" i="5" s="1"/>
  <c r="M114" i="5"/>
  <c r="J114" i="5"/>
  <c r="J105" i="5"/>
  <c r="S106" i="5"/>
  <c r="P106" i="5"/>
  <c r="K103" i="5"/>
  <c r="M103" i="5" s="1"/>
  <c r="S92" i="5"/>
  <c r="S87" i="5"/>
  <c r="P86" i="5"/>
  <c r="J85" i="5"/>
  <c r="S86" i="5"/>
  <c r="J76" i="5"/>
  <c r="T74" i="5"/>
  <c r="V74" i="5" s="1"/>
  <c r="J65" i="5"/>
  <c r="J57" i="5"/>
  <c r="P55" i="5"/>
  <c r="S51" i="5"/>
  <c r="T47" i="5"/>
  <c r="V47" i="5" s="1"/>
  <c r="P45" i="5"/>
  <c r="J44" i="5"/>
  <c r="P39" i="5"/>
  <c r="T40" i="5"/>
  <c r="V40" i="5" s="1"/>
  <c r="K35" i="5"/>
  <c r="M35" i="5" s="1"/>
  <c r="S32" i="5"/>
  <c r="P10" i="5"/>
  <c r="K58" i="6"/>
  <c r="M58" i="6" s="1"/>
  <c r="K42" i="6"/>
  <c r="M42" i="6" s="1"/>
  <c r="S35" i="6"/>
  <c r="P26" i="6"/>
  <c r="P23" i="6"/>
  <c r="S15" i="6"/>
  <c r="P10" i="6"/>
  <c r="P75" i="6"/>
  <c r="K63" i="6"/>
  <c r="M63" i="6" s="1"/>
  <c r="S36" i="6"/>
  <c r="K24" i="6"/>
  <c r="M24" i="6" s="1"/>
  <c r="P16" i="6"/>
  <c r="M124" i="8"/>
  <c r="K119" i="8"/>
  <c r="M119" i="8" s="1"/>
  <c r="S104" i="8"/>
  <c r="S96" i="8"/>
  <c r="P80" i="8"/>
  <c r="J76" i="8"/>
  <c r="J72" i="8"/>
  <c r="P60" i="8"/>
  <c r="K56" i="8"/>
  <c r="M56" i="8" s="1"/>
  <c r="J58" i="8"/>
  <c r="K48" i="8"/>
  <c r="M48" i="8" s="1"/>
  <c r="K40" i="8"/>
  <c r="M40" i="8" s="1"/>
  <c r="S32" i="8"/>
  <c r="J28" i="8"/>
  <c r="K21" i="8"/>
  <c r="M21" i="8" s="1"/>
  <c r="S16" i="8"/>
  <c r="S105" i="8"/>
  <c r="J46" i="8"/>
  <c r="P36" i="9"/>
  <c r="S59" i="6"/>
  <c r="J50" i="6"/>
  <c r="M34" i="6"/>
  <c r="P61" i="6"/>
  <c r="M53" i="6"/>
  <c r="S96" i="5"/>
  <c r="P79" i="5"/>
  <c r="S69" i="5"/>
  <c r="S34" i="5"/>
  <c r="S108" i="8"/>
  <c r="S84" i="8"/>
  <c r="V7" i="5"/>
  <c r="S37" i="6"/>
  <c r="V38" i="6"/>
  <c r="V10" i="5"/>
  <c r="T14" i="5"/>
  <c r="V14" i="5" s="1"/>
  <c r="S103" i="5"/>
  <c r="S66" i="5"/>
  <c r="T57" i="5"/>
  <c r="V57" i="5" s="1"/>
  <c r="P51" i="5"/>
  <c r="T52" i="5"/>
  <c r="V52" i="5" s="1"/>
  <c r="K48" i="5"/>
  <c r="M48" i="5" s="1"/>
  <c r="S40" i="5"/>
  <c r="T30" i="5"/>
  <c r="V30" i="5" s="1"/>
  <c r="P13" i="5"/>
  <c r="J15" i="6"/>
  <c r="J24" i="6"/>
  <c r="S120" i="8"/>
  <c r="K112" i="8"/>
  <c r="M112" i="8" s="1"/>
  <c r="P96" i="8"/>
  <c r="K80" i="8"/>
  <c r="M80" i="8" s="1"/>
  <c r="P64" i="8"/>
  <c r="K60" i="8"/>
  <c r="M60" i="8" s="1"/>
  <c r="S52" i="8"/>
  <c r="P36" i="8"/>
  <c r="J32" i="8"/>
  <c r="K20" i="8"/>
  <c r="M32" i="9"/>
  <c r="S30" i="5"/>
  <c r="P29" i="5"/>
  <c r="J32" i="5"/>
  <c r="S13" i="5"/>
  <c r="J9" i="5"/>
  <c r="P32" i="5"/>
  <c r="S123" i="5"/>
  <c r="J120" i="5"/>
  <c r="T107" i="5"/>
  <c r="V107" i="5" s="1"/>
  <c r="T103" i="5"/>
  <c r="V103" i="5" s="1"/>
  <c r="M101" i="5"/>
  <c r="V102" i="5"/>
  <c r="M102" i="5"/>
  <c r="J92" i="5"/>
  <c r="T88" i="5"/>
  <c r="V88" i="5" s="1"/>
  <c r="S85" i="5"/>
  <c r="K75" i="5"/>
  <c r="M75" i="5" s="1"/>
  <c r="T73" i="5"/>
  <c r="V73" i="5" s="1"/>
  <c r="J68" i="5"/>
  <c r="S59" i="5"/>
  <c r="J58" i="5"/>
  <c r="K51" i="5"/>
  <c r="M51" i="5" s="1"/>
  <c r="J48" i="5"/>
  <c r="K43" i="5"/>
  <c r="M43" i="5" s="1"/>
  <c r="J39" i="5"/>
  <c r="P40" i="5"/>
  <c r="T35" i="5"/>
  <c r="V35" i="5" s="1"/>
  <c r="P31" i="5"/>
  <c r="K13" i="5"/>
  <c r="M13" i="5" s="1"/>
  <c r="K26" i="5"/>
  <c r="M26" i="5" s="1"/>
  <c r="P72" i="6"/>
  <c r="J64" i="6"/>
  <c r="S23" i="6"/>
  <c r="S76" i="6"/>
  <c r="J63" i="6"/>
  <c r="J51" i="6"/>
  <c r="T24" i="6"/>
  <c r="V24" i="6" s="1"/>
  <c r="S16" i="6"/>
  <c r="S122" i="8"/>
  <c r="J119" i="8"/>
  <c r="S111" i="8"/>
  <c r="P56" i="8"/>
  <c r="J70" i="8"/>
  <c r="P48" i="8"/>
  <c r="S40" i="8"/>
  <c r="S33" i="8"/>
  <c r="K28" i="8"/>
  <c r="M28" i="8" s="1"/>
  <c r="P24" i="8"/>
  <c r="K17" i="8"/>
  <c r="M17" i="8" s="1"/>
  <c r="J12" i="8"/>
  <c r="K74" i="8"/>
  <c r="M74" i="8" s="1"/>
  <c r="S50" i="8"/>
  <c r="T9" i="8"/>
  <c r="V9" i="8" s="1"/>
  <c r="S56" i="9"/>
  <c r="P16" i="9"/>
  <c r="P9" i="5"/>
  <c r="P123" i="5"/>
  <c r="P108" i="5"/>
  <c r="V86" i="5"/>
  <c r="J75" i="5"/>
  <c r="S67" i="5"/>
  <c r="K59" i="5"/>
  <c r="M59" i="5" s="1"/>
  <c r="S46" i="5"/>
  <c r="T25" i="5"/>
  <c r="V25" i="5" s="1"/>
  <c r="T72" i="6"/>
  <c r="V72" i="6" s="1"/>
  <c r="J52" i="6"/>
  <c r="J46" i="6"/>
  <c r="J35" i="6"/>
  <c r="S19" i="6"/>
  <c r="J11" i="6"/>
  <c r="K75" i="6"/>
  <c r="M75" i="6" s="1"/>
  <c r="K71" i="6"/>
  <c r="M71" i="6" s="1"/>
  <c r="K52" i="6"/>
  <c r="M52" i="6" s="1"/>
  <c r="K44" i="6"/>
  <c r="M44" i="6" s="1"/>
  <c r="J36" i="6"/>
  <c r="K28" i="6"/>
  <c r="M28" i="6" s="1"/>
  <c r="J20" i="6"/>
  <c r="S12" i="6"/>
  <c r="K114" i="8"/>
  <c r="M114" i="8" s="1"/>
  <c r="P76" i="8"/>
  <c r="T82" i="8"/>
  <c r="V82" i="8" s="1"/>
  <c r="T70" i="8"/>
  <c r="V70" i="8" s="1"/>
  <c r="T58" i="8"/>
  <c r="V58" i="8" s="1"/>
  <c r="P25" i="8"/>
  <c r="S97" i="8"/>
  <c r="T77" i="8"/>
  <c r="V77" i="8" s="1"/>
  <c r="K66" i="8"/>
  <c r="M66" i="8" s="1"/>
  <c r="S54" i="8"/>
  <c r="S34" i="8"/>
  <c r="K55" i="9"/>
  <c r="S48" i="9"/>
  <c r="S36" i="9"/>
  <c r="S28" i="9"/>
  <c r="K20" i="9"/>
  <c r="P67" i="6"/>
  <c r="J100" i="8"/>
  <c r="K9" i="5"/>
  <c r="M9" i="5" s="1"/>
  <c r="T28" i="5"/>
  <c r="V28" i="5" s="1"/>
  <c r="S25" i="5"/>
  <c r="P22" i="5"/>
  <c r="P11" i="5"/>
  <c r="T9" i="5"/>
  <c r="V9" i="5" s="1"/>
  <c r="J15" i="5"/>
  <c r="S16" i="5"/>
  <c r="K20" i="5"/>
  <c r="M20" i="5" s="1"/>
  <c r="T23" i="5"/>
  <c r="V23" i="5" s="1"/>
  <c r="P27" i="5"/>
  <c r="K33" i="5"/>
  <c r="M33" i="5" s="1"/>
  <c r="J123" i="5"/>
  <c r="S124" i="5"/>
  <c r="P124" i="5"/>
  <c r="V121" i="5"/>
  <c r="S121" i="5"/>
  <c r="K112" i="5"/>
  <c r="M112" i="5" s="1"/>
  <c r="J112" i="5"/>
  <c r="S107" i="5"/>
  <c r="P102" i="5"/>
  <c r="V101" i="5"/>
  <c r="S97" i="5"/>
  <c r="V98" i="5"/>
  <c r="M98" i="5"/>
  <c r="T96" i="5"/>
  <c r="V96" i="5" s="1"/>
  <c r="P95" i="5"/>
  <c r="S93" i="5"/>
  <c r="V94" i="5"/>
  <c r="M94" i="5"/>
  <c r="J91" i="5"/>
  <c r="P90" i="5"/>
  <c r="J89" i="5"/>
  <c r="S90" i="5"/>
  <c r="J86" i="5"/>
  <c r="S83" i="5"/>
  <c r="P82" i="5"/>
  <c r="J81" i="5"/>
  <c r="S82" i="5"/>
  <c r="S79" i="5"/>
  <c r="T79" i="5"/>
  <c r="V79" i="5" s="1"/>
  <c r="S75" i="5"/>
  <c r="P76" i="5"/>
  <c r="T69" i="5"/>
  <c r="V69" i="5" s="1"/>
  <c r="J70" i="5"/>
  <c r="T67" i="5"/>
  <c r="V67" i="5" s="1"/>
  <c r="K67" i="5"/>
  <c r="M67" i="5" s="1"/>
  <c r="T68" i="5"/>
  <c r="V68" i="5" s="1"/>
  <c r="M63" i="5"/>
  <c r="J61" i="5"/>
  <c r="S61" i="5"/>
  <c r="J59" i="5"/>
  <c r="K60" i="5"/>
  <c r="M60" i="5" s="1"/>
  <c r="P60" i="5"/>
  <c r="P49" i="5"/>
  <c r="T50" i="5"/>
  <c r="V50" i="5" s="1"/>
  <c r="K46" i="5"/>
  <c r="M46" i="5" s="1"/>
  <c r="J46" i="5"/>
  <c r="P33" i="5"/>
  <c r="P34" i="5"/>
  <c r="K25" i="5"/>
  <c r="M25" i="5" s="1"/>
  <c r="J21" i="5"/>
  <c r="P25" i="5"/>
  <c r="T12" i="5"/>
  <c r="V12" i="5" s="1"/>
  <c r="S15" i="5"/>
  <c r="J76" i="6"/>
  <c r="T52" i="6"/>
  <c r="V52" i="6" s="1"/>
  <c r="T50" i="6"/>
  <c r="V50" i="6" s="1"/>
  <c r="P43" i="6"/>
  <c r="K35" i="6"/>
  <c r="M35" i="6" s="1"/>
  <c r="S27" i="6"/>
  <c r="J19" i="6"/>
  <c r="K11" i="6"/>
  <c r="M11" i="6" s="1"/>
  <c r="J75" i="6"/>
  <c r="T75" i="6"/>
  <c r="V75" i="6" s="1"/>
  <c r="J71" i="6"/>
  <c r="T71" i="6"/>
  <c r="V71" i="6" s="1"/>
  <c r="K67" i="6"/>
  <c r="M67" i="6" s="1"/>
  <c r="V61" i="6"/>
  <c r="P59" i="6"/>
  <c r="S53" i="6"/>
  <c r="T51" i="6"/>
  <c r="V51" i="6" s="1"/>
  <c r="P44" i="6"/>
  <c r="K36" i="6"/>
  <c r="M36" i="6" s="1"/>
  <c r="S28" i="6"/>
  <c r="K20" i="6"/>
  <c r="M20" i="6" s="1"/>
  <c r="T12" i="6"/>
  <c r="V12" i="6" s="1"/>
  <c r="J12" i="6"/>
  <c r="S114" i="8"/>
  <c r="P100" i="8"/>
  <c r="S106" i="8"/>
  <c r="J90" i="8"/>
  <c r="J74" i="8"/>
  <c r="T62" i="8"/>
  <c r="V62" i="8" s="1"/>
  <c r="J53" i="8"/>
  <c r="K49" i="8"/>
  <c r="M49" i="8" s="1"/>
  <c r="J45" i="8"/>
  <c r="J41" i="8"/>
  <c r="T106" i="8"/>
  <c r="V106" i="8" s="1"/>
  <c r="K97" i="8"/>
  <c r="M97" i="8" s="1"/>
  <c r="S89" i="8"/>
  <c r="J77" i="8"/>
  <c r="S73" i="8"/>
  <c r="T69" i="8"/>
  <c r="T46" i="8"/>
  <c r="V46" i="8" s="1"/>
  <c r="P38" i="8"/>
  <c r="P22" i="8"/>
  <c r="T13" i="8"/>
  <c r="V13" i="8" s="1"/>
  <c r="J78" i="9"/>
  <c r="J74" i="9"/>
  <c r="K73" i="9"/>
  <c r="M73" i="9" s="1"/>
  <c r="P58" i="9"/>
  <c r="K54" i="9"/>
  <c r="M54" i="9" s="1"/>
  <c r="T55" i="9"/>
  <c r="T51" i="9"/>
  <c r="V51" i="9" s="1"/>
  <c r="J40" i="9"/>
  <c r="J36" i="9"/>
  <c r="J32" i="9"/>
  <c r="S65" i="9"/>
  <c r="S49" i="9"/>
  <c r="P50" i="9"/>
  <c r="K46" i="9"/>
  <c r="M46" i="9" s="1"/>
  <c r="S45" i="9"/>
  <c r="K38" i="9"/>
  <c r="M38" i="9" s="1"/>
  <c r="S37" i="9"/>
  <c r="J33" i="9"/>
  <c r="T33" i="9"/>
  <c r="V33" i="9" s="1"/>
  <c r="S26" i="9"/>
  <c r="P25" i="9"/>
  <c r="J22" i="9"/>
  <c r="K14" i="9"/>
  <c r="M14" i="9" s="1"/>
  <c r="K10" i="9"/>
  <c r="M10" i="9" s="1"/>
  <c r="J69" i="9"/>
  <c r="T69" i="9"/>
  <c r="V69" i="9" s="1"/>
  <c r="J46" i="9"/>
  <c r="P34" i="9"/>
  <c r="J26" i="9"/>
  <c r="S21" i="9"/>
  <c r="S13" i="9"/>
  <c r="S12" i="9"/>
  <c r="P9" i="9"/>
  <c r="J8" i="9"/>
  <c r="S118" i="8"/>
  <c r="P78" i="6"/>
  <c r="M69" i="6"/>
  <c r="J53" i="5"/>
  <c r="M56" i="6"/>
  <c r="V43" i="6"/>
  <c r="V35" i="6"/>
  <c r="P20" i="5"/>
  <c r="P21" i="6"/>
  <c r="K123" i="5"/>
  <c r="M123" i="5" s="1"/>
  <c r="T124" i="5"/>
  <c r="V124" i="5" s="1"/>
  <c r="J107" i="5"/>
  <c r="T91" i="5"/>
  <c r="V91" i="5" s="1"/>
  <c r="M86" i="5"/>
  <c r="T75" i="5"/>
  <c r="V75" i="5" s="1"/>
  <c r="S76" i="5"/>
  <c r="S68" i="5"/>
  <c r="T59" i="5"/>
  <c r="V59" i="5" s="1"/>
  <c r="T60" i="5"/>
  <c r="V60" i="5" s="1"/>
  <c r="J45" i="5"/>
  <c r="P46" i="5"/>
  <c r="J47" i="6"/>
  <c r="K43" i="6"/>
  <c r="M43" i="6" s="1"/>
  <c r="S72" i="6"/>
  <c r="T36" i="6"/>
  <c r="V36" i="6" s="1"/>
  <c r="T20" i="6"/>
  <c r="V20" i="6" s="1"/>
  <c r="T98" i="8"/>
  <c r="V98" i="8" s="1"/>
  <c r="S17" i="8"/>
  <c r="K105" i="8"/>
  <c r="M105" i="8" s="1"/>
  <c r="K82" i="8"/>
  <c r="M82" i="8" s="1"/>
  <c r="S70" i="8"/>
  <c r="T61" i="8"/>
  <c r="P46" i="8"/>
  <c r="K52" i="9"/>
  <c r="M52" i="9" s="1"/>
  <c r="K44" i="9"/>
  <c r="S32" i="9"/>
  <c r="K7" i="9"/>
  <c r="M7" i="9" s="1"/>
  <c r="J10" i="5"/>
  <c r="P26" i="5"/>
  <c r="K23" i="5"/>
  <c r="M23" i="5" s="1"/>
  <c r="K19" i="5"/>
  <c r="M19" i="5" s="1"/>
  <c r="K15" i="5"/>
  <c r="M15" i="5" s="1"/>
  <c r="T11" i="5"/>
  <c r="V11" i="5" s="1"/>
  <c r="K10" i="5"/>
  <c r="M10" i="5" s="1"/>
  <c r="K16" i="5"/>
  <c r="M16" i="5" s="1"/>
  <c r="T19" i="5"/>
  <c r="V19" i="5" s="1"/>
  <c r="P23" i="5"/>
  <c r="J27" i="5"/>
  <c r="S28" i="5"/>
  <c r="J34" i="5"/>
  <c r="K124" i="5"/>
  <c r="M124" i="5" s="1"/>
  <c r="P121" i="5"/>
  <c r="M121" i="5"/>
  <c r="V122" i="5"/>
  <c r="S116" i="5"/>
  <c r="T111" i="5"/>
  <c r="V111" i="5" s="1"/>
  <c r="S108" i="5"/>
  <c r="S100" i="5"/>
  <c r="J98" i="5"/>
  <c r="V97" i="5"/>
  <c r="J96" i="5"/>
  <c r="J95" i="5"/>
  <c r="J94" i="5"/>
  <c r="V93" i="5"/>
  <c r="S91" i="5"/>
  <c r="S89" i="5"/>
  <c r="S81" i="5"/>
  <c r="V82" i="5"/>
  <c r="M82" i="5"/>
  <c r="T80" i="5"/>
  <c r="V80" i="5" s="1"/>
  <c r="J77" i="5"/>
  <c r="P75" i="5"/>
  <c r="J69" i="5"/>
  <c r="J67" i="5"/>
  <c r="K68" i="5"/>
  <c r="M68" i="5" s="1"/>
  <c r="K62" i="5"/>
  <c r="M62" i="5" s="1"/>
  <c r="K61" i="5"/>
  <c r="M61" i="5" s="1"/>
  <c r="P59" i="5"/>
  <c r="J50" i="5"/>
  <c r="T45" i="5"/>
  <c r="V45" i="5" s="1"/>
  <c r="J33" i="5"/>
  <c r="J26" i="5"/>
  <c r="S9" i="5"/>
  <c r="J25" i="5"/>
  <c r="S7" i="5"/>
  <c r="S19" i="5"/>
  <c r="P7" i="5"/>
  <c r="P76" i="6"/>
  <c r="J72" i="6"/>
  <c r="K50" i="6"/>
  <c r="M50" i="6" s="1"/>
  <c r="P35" i="6"/>
  <c r="K19" i="6"/>
  <c r="M19" i="6" s="1"/>
  <c r="P11" i="6"/>
  <c r="K76" i="6"/>
  <c r="M76" i="6" s="1"/>
  <c r="J67" i="6"/>
  <c r="K59" i="6"/>
  <c r="M59" i="6" s="1"/>
  <c r="S44" i="6"/>
  <c r="P36" i="6"/>
  <c r="J32" i="6"/>
  <c r="P20" i="6"/>
  <c r="K12" i="6"/>
  <c r="M12" i="6" s="1"/>
  <c r="K122" i="8"/>
  <c r="M122" i="8" s="1"/>
  <c r="T90" i="8"/>
  <c r="V90" i="8" s="1"/>
  <c r="T74" i="8"/>
  <c r="V74" i="8" s="1"/>
  <c r="P66" i="8"/>
  <c r="T53" i="8"/>
  <c r="V53" i="8" s="1"/>
  <c r="S49" i="8"/>
  <c r="P45" i="8"/>
  <c r="P41" i="8"/>
  <c r="P37" i="8"/>
  <c r="J106" i="8"/>
  <c r="K98" i="8"/>
  <c r="M98" i="8" s="1"/>
  <c r="K89" i="8"/>
  <c r="M89" i="8" s="1"/>
  <c r="S81" i="8"/>
  <c r="K73" i="8"/>
  <c r="K57" i="8"/>
  <c r="K50" i="8"/>
  <c r="M50" i="8" s="1"/>
  <c r="K14" i="8"/>
  <c r="M14" i="8" s="1"/>
  <c r="P78" i="9"/>
  <c r="K74" i="9"/>
  <c r="M74" i="9" s="1"/>
  <c r="J77" i="9"/>
  <c r="P73" i="9"/>
  <c r="P64" i="9"/>
  <c r="S54" i="9"/>
  <c r="K56" i="9"/>
  <c r="M56" i="9" s="1"/>
  <c r="P40" i="9"/>
  <c r="K70" i="9"/>
  <c r="M70" i="9" s="1"/>
  <c r="P49" i="9"/>
  <c r="S46" i="9"/>
  <c r="P45" i="9"/>
  <c r="S38" i="9"/>
  <c r="P37" i="9"/>
  <c r="K34" i="9"/>
  <c r="M34" i="9" s="1"/>
  <c r="S33" i="9"/>
  <c r="S29" i="9"/>
  <c r="K25" i="9"/>
  <c r="M25" i="9" s="1"/>
  <c r="K22" i="9"/>
  <c r="M22" i="9" s="1"/>
  <c r="P14" i="9"/>
  <c r="P10" i="9"/>
  <c r="P70" i="9"/>
  <c r="P46" i="9"/>
  <c r="J38" i="9"/>
  <c r="P26" i="9"/>
  <c r="T21" i="9"/>
  <c r="V21" i="9" s="1"/>
  <c r="J21" i="9"/>
  <c r="T13" i="9"/>
  <c r="V13" i="9" s="1"/>
  <c r="J13" i="9"/>
  <c r="S9" i="9"/>
  <c r="P63" i="6"/>
  <c r="J37" i="6"/>
  <c r="J104" i="5"/>
  <c r="M88" i="5"/>
  <c r="S65" i="5"/>
  <c r="P58" i="5"/>
  <c r="S41" i="5"/>
  <c r="J78" i="5"/>
  <c r="J56" i="8"/>
  <c r="J52" i="5"/>
  <c r="P48" i="5"/>
  <c r="P44" i="5"/>
  <c r="S39" i="5"/>
  <c r="J36" i="5"/>
  <c r="J36" i="8"/>
  <c r="V31" i="5"/>
  <c r="P32" i="8"/>
  <c r="S28" i="8"/>
  <c r="M24" i="8"/>
  <c r="P30" i="5"/>
  <c r="S12" i="5"/>
  <c r="J74" i="6"/>
  <c r="K74" i="6"/>
  <c r="M74" i="6" s="1"/>
  <c r="P66" i="6"/>
  <c r="J66" i="6"/>
  <c r="V45" i="6"/>
  <c r="V46" i="6"/>
  <c r="M29" i="6"/>
  <c r="J29" i="6"/>
  <c r="S29" i="6"/>
  <c r="K123" i="8"/>
  <c r="M123" i="8" s="1"/>
  <c r="S123" i="8"/>
  <c r="K115" i="8"/>
  <c r="K116" i="8"/>
  <c r="P108" i="8"/>
  <c r="J108" i="8"/>
  <c r="K108" i="8"/>
  <c r="M108" i="8" s="1"/>
  <c r="P84" i="8"/>
  <c r="K84" i="8"/>
  <c r="M84" i="8" s="1"/>
  <c r="J84" i="8"/>
  <c r="V113" i="5"/>
  <c r="S113" i="5"/>
  <c r="M77" i="5"/>
  <c r="J126" i="8"/>
  <c r="S126" i="8"/>
  <c r="J118" i="8"/>
  <c r="K118" i="8"/>
  <c r="M118" i="8" s="1"/>
  <c r="S110" i="8"/>
  <c r="J109" i="8"/>
  <c r="S101" i="8"/>
  <c r="S102" i="8"/>
  <c r="P101" i="8"/>
  <c r="S93" i="8"/>
  <c r="T93" i="8"/>
  <c r="V93" i="8" s="1"/>
  <c r="P94" i="8"/>
  <c r="S94" i="8"/>
  <c r="J93" i="8"/>
  <c r="S85" i="8"/>
  <c r="S86" i="8"/>
  <c r="P85" i="8"/>
  <c r="K78" i="6"/>
  <c r="M78" i="6" s="1"/>
  <c r="S78" i="6"/>
  <c r="J78" i="6"/>
  <c r="P69" i="6"/>
  <c r="V69" i="6"/>
  <c r="J69" i="6"/>
  <c r="S69" i="6"/>
  <c r="S45" i="6"/>
  <c r="P45" i="6"/>
  <c r="S115" i="5"/>
  <c r="T115" i="5"/>
  <c r="V115" i="5" s="1"/>
  <c r="J116" i="5"/>
  <c r="K116" i="5"/>
  <c r="M116" i="5" s="1"/>
  <c r="T99" i="5"/>
  <c r="V99" i="5" s="1"/>
  <c r="S99" i="5"/>
  <c r="K100" i="5"/>
  <c r="M100" i="5" s="1"/>
  <c r="P100" i="5"/>
  <c r="K99" i="5"/>
  <c r="M99" i="5" s="1"/>
  <c r="K84" i="5"/>
  <c r="M84" i="5" s="1"/>
  <c r="P84" i="5"/>
  <c r="K83" i="5"/>
  <c r="M83" i="5" s="1"/>
  <c r="S84" i="5"/>
  <c r="J83" i="5"/>
  <c r="J84" i="5"/>
  <c r="T72" i="5"/>
  <c r="V72" i="5" s="1"/>
  <c r="K71" i="5"/>
  <c r="M71" i="5" s="1"/>
  <c r="T71" i="5"/>
  <c r="V71" i="5" s="1"/>
  <c r="J72" i="5"/>
  <c r="P71" i="5"/>
  <c r="S71" i="5"/>
  <c r="S72" i="5"/>
  <c r="S63" i="5"/>
  <c r="S64" i="5"/>
  <c r="J64" i="5"/>
  <c r="P63" i="5"/>
  <c r="P64" i="5"/>
  <c r="K64" i="5"/>
  <c r="M64" i="5" s="1"/>
  <c r="J63" i="5"/>
  <c r="T54" i="5"/>
  <c r="V54" i="5" s="1"/>
  <c r="K53" i="5"/>
  <c r="M53" i="5" s="1"/>
  <c r="P53" i="5"/>
  <c r="S53" i="5"/>
  <c r="T53" i="5"/>
  <c r="V53" i="5" s="1"/>
  <c r="J54" i="5"/>
  <c r="K54" i="5"/>
  <c r="M54" i="5" s="1"/>
  <c r="T38" i="5"/>
  <c r="V38" i="5" s="1"/>
  <c r="P38" i="5"/>
  <c r="J37" i="5"/>
  <c r="T37" i="5"/>
  <c r="V37" i="5" s="1"/>
  <c r="S38" i="5"/>
  <c r="P17" i="5"/>
  <c r="J18" i="5"/>
  <c r="T17" i="5"/>
  <c r="V17" i="5" s="1"/>
  <c r="K17" i="5"/>
  <c r="M17" i="5" s="1"/>
  <c r="P18" i="5"/>
  <c r="K18" i="5"/>
  <c r="M18" i="5" s="1"/>
  <c r="S55" i="6"/>
  <c r="K55" i="6"/>
  <c r="M55" i="6" s="1"/>
  <c r="T55" i="6"/>
  <c r="V55" i="6" s="1"/>
  <c r="J55" i="6"/>
  <c r="T56" i="6"/>
  <c r="V56" i="6" s="1"/>
  <c r="S56" i="6"/>
  <c r="P56" i="6"/>
  <c r="T47" i="6"/>
  <c r="V47" i="6" s="1"/>
  <c r="K48" i="6"/>
  <c r="M48" i="6" s="1"/>
  <c r="S47" i="6"/>
  <c r="S48" i="6"/>
  <c r="J48" i="6"/>
  <c r="T48" i="6"/>
  <c r="V48" i="6" s="1"/>
  <c r="P47" i="6"/>
  <c r="K47" i="6"/>
  <c r="M47" i="6" s="1"/>
  <c r="T39" i="6"/>
  <c r="V39" i="6" s="1"/>
  <c r="J40" i="6"/>
  <c r="T40" i="6"/>
  <c r="V40" i="6" s="1"/>
  <c r="K39" i="6"/>
  <c r="M39" i="6" s="1"/>
  <c r="P40" i="6"/>
  <c r="S39" i="6"/>
  <c r="S40" i="6"/>
  <c r="J39" i="6"/>
  <c r="T31" i="6"/>
  <c r="V31" i="6" s="1"/>
  <c r="S32" i="6"/>
  <c r="K31" i="6"/>
  <c r="M31" i="6" s="1"/>
  <c r="K32" i="6"/>
  <c r="M32" i="6" s="1"/>
  <c r="S31" i="6"/>
  <c r="P32" i="6"/>
  <c r="J31" i="6"/>
  <c r="K8" i="8"/>
  <c r="M8" i="8" s="1"/>
  <c r="P8" i="8"/>
  <c r="J8" i="8"/>
  <c r="V30" i="6"/>
  <c r="S30" i="6"/>
  <c r="S22" i="6"/>
  <c r="J121" i="5"/>
  <c r="S122" i="5"/>
  <c r="P122" i="5"/>
  <c r="K119" i="5"/>
  <c r="M119" i="5" s="1"/>
  <c r="P113" i="5"/>
  <c r="M113" i="5"/>
  <c r="V114" i="5"/>
  <c r="V105" i="5"/>
  <c r="S105" i="5"/>
  <c r="J103" i="5"/>
  <c r="S104" i="5"/>
  <c r="P104" i="5"/>
  <c r="J102" i="5"/>
  <c r="P101" i="5"/>
  <c r="M97" i="5"/>
  <c r="P97" i="5"/>
  <c r="M93" i="5"/>
  <c r="P93" i="5"/>
  <c r="J90" i="5"/>
  <c r="V89" i="5"/>
  <c r="J88" i="5"/>
  <c r="J87" i="5"/>
  <c r="S88" i="5"/>
  <c r="V85" i="5"/>
  <c r="J82" i="5"/>
  <c r="V81" i="5"/>
  <c r="P74" i="5"/>
  <c r="P65" i="5"/>
  <c r="P66" i="5"/>
  <c r="V62" i="5"/>
  <c r="J60" i="5"/>
  <c r="K58" i="5"/>
  <c r="M58" i="5" s="1"/>
  <c r="K57" i="5"/>
  <c r="M57" i="5" s="1"/>
  <c r="T58" i="5"/>
  <c r="V58" i="5" s="1"/>
  <c r="J56" i="5"/>
  <c r="J51" i="5"/>
  <c r="S52" i="5"/>
  <c r="P52" i="5"/>
  <c r="P47" i="5"/>
  <c r="K47" i="5"/>
  <c r="M47" i="5" s="1"/>
  <c r="T48" i="5"/>
  <c r="V48" i="5" s="1"/>
  <c r="K44" i="5"/>
  <c r="M44" i="5" s="1"/>
  <c r="J41" i="5"/>
  <c r="P42" i="5"/>
  <c r="K40" i="5"/>
  <c r="M40" i="5" s="1"/>
  <c r="J40" i="5"/>
  <c r="J35" i="5"/>
  <c r="S36" i="5"/>
  <c r="P36" i="5"/>
  <c r="K32" i="5"/>
  <c r="M32" i="5" s="1"/>
  <c r="K29" i="5"/>
  <c r="M29" i="5" s="1"/>
  <c r="K14" i="5"/>
  <c r="M14" i="5" s="1"/>
  <c r="T68" i="6"/>
  <c r="V68" i="6" s="1"/>
  <c r="T64" i="6"/>
  <c r="V64" i="6" s="1"/>
  <c r="T60" i="6"/>
  <c r="V60" i="6" s="1"/>
  <c r="S50" i="6"/>
  <c r="P46" i="6"/>
  <c r="P42" i="6"/>
  <c r="M40" i="6"/>
  <c r="J23" i="6"/>
  <c r="J18" i="6"/>
  <c r="K15" i="6"/>
  <c r="M15" i="6" s="1"/>
  <c r="P7" i="6"/>
  <c r="S67" i="6"/>
  <c r="S63" i="6"/>
  <c r="J59" i="6"/>
  <c r="T59" i="6"/>
  <c r="V59" i="6" s="1"/>
  <c r="P24" i="6"/>
  <c r="T16" i="6"/>
  <c r="V16" i="6" s="1"/>
  <c r="J16" i="6"/>
  <c r="S60" i="8"/>
  <c r="S56" i="8"/>
  <c r="K52" i="8"/>
  <c r="M52" i="8" s="1"/>
  <c r="S48" i="8"/>
  <c r="S36" i="8"/>
  <c r="K32" i="8"/>
  <c r="M32" i="8" s="1"/>
  <c r="P28" i="8"/>
  <c r="J24" i="8"/>
  <c r="P12" i="8"/>
  <c r="V37" i="6"/>
  <c r="J122" i="8"/>
  <c r="J114" i="8"/>
  <c r="M88" i="8"/>
  <c r="M46" i="6"/>
  <c r="J16" i="8"/>
  <c r="K30" i="5"/>
  <c r="M30" i="5" s="1"/>
  <c r="T32" i="5"/>
  <c r="V32" i="5" s="1"/>
  <c r="T29" i="5"/>
  <c r="V29" i="5" s="1"/>
  <c r="S29" i="5"/>
  <c r="J13" i="5"/>
  <c r="S31" i="5"/>
  <c r="M122" i="5"/>
  <c r="J122" i="5"/>
  <c r="K120" i="5"/>
  <c r="M120" i="5" s="1"/>
  <c r="J113" i="5"/>
  <c r="S114" i="5"/>
  <c r="P114" i="5"/>
  <c r="S111" i="5"/>
  <c r="K104" i="5"/>
  <c r="M104" i="5" s="1"/>
  <c r="S101" i="5"/>
  <c r="J101" i="5"/>
  <c r="S102" i="5"/>
  <c r="P98" i="5"/>
  <c r="J97" i="5"/>
  <c r="S98" i="5"/>
  <c r="P94" i="5"/>
  <c r="J93" i="5"/>
  <c r="S94" i="5"/>
  <c r="K87" i="5"/>
  <c r="M87" i="5" s="1"/>
  <c r="P88" i="5"/>
  <c r="M85" i="5"/>
  <c r="P85" i="5"/>
  <c r="M81" i="5"/>
  <c r="P81" i="5"/>
  <c r="S73" i="5"/>
  <c r="P57" i="5"/>
  <c r="S58" i="5"/>
  <c r="K55" i="5"/>
  <c r="M55" i="5" s="1"/>
  <c r="K52" i="5"/>
  <c r="M52" i="5" s="1"/>
  <c r="J47" i="5"/>
  <c r="S48" i="5"/>
  <c r="S45" i="5"/>
  <c r="P43" i="5"/>
  <c r="T44" i="5"/>
  <c r="V44" i="5" s="1"/>
  <c r="T39" i="5"/>
  <c r="V39" i="5" s="1"/>
  <c r="K36" i="5"/>
  <c r="M36" i="5" s="1"/>
  <c r="J30" i="5"/>
  <c r="P58" i="6"/>
  <c r="S46" i="6"/>
  <c r="S43" i="6"/>
  <c r="J34" i="6"/>
  <c r="M30" i="6"/>
  <c r="K23" i="6"/>
  <c r="M23" i="6" s="1"/>
  <c r="M22" i="6"/>
  <c r="P15" i="6"/>
  <c r="K68" i="6"/>
  <c r="M68" i="6" s="1"/>
  <c r="K64" i="6"/>
  <c r="M64" i="6" s="1"/>
  <c r="S24" i="6"/>
  <c r="K16" i="6"/>
  <c r="M16" i="6" s="1"/>
  <c r="J96" i="8"/>
  <c r="M72" i="8"/>
  <c r="E47" i="8"/>
  <c r="M22" i="5"/>
  <c r="J30" i="8"/>
  <c r="S77" i="5"/>
  <c r="P120" i="5"/>
  <c r="P78" i="5"/>
  <c r="M21" i="6"/>
  <c r="S61" i="6"/>
  <c r="J13" i="6"/>
  <c r="V62" i="6"/>
  <c r="P125" i="5"/>
  <c r="M126" i="5"/>
  <c r="M125" i="5"/>
  <c r="J126" i="5"/>
  <c r="V126" i="5"/>
  <c r="J119" i="5"/>
  <c r="T119" i="5"/>
  <c r="V119" i="5" s="1"/>
  <c r="S120" i="5"/>
  <c r="S119" i="5"/>
  <c r="P105" i="5"/>
  <c r="M106" i="5"/>
  <c r="M105" i="5"/>
  <c r="J106" i="5"/>
  <c r="V106" i="5"/>
  <c r="S78" i="5"/>
  <c r="P77" i="5"/>
  <c r="V77" i="5"/>
  <c r="M78" i="5"/>
  <c r="J72" i="4"/>
  <c r="P64" i="6"/>
  <c r="S62" i="6"/>
  <c r="M62" i="6"/>
  <c r="M61" i="6"/>
  <c r="P56" i="5"/>
  <c r="J55" i="5"/>
  <c r="T55" i="5"/>
  <c r="V55" i="5" s="1"/>
  <c r="S56" i="5"/>
  <c r="S55" i="5"/>
  <c r="J56" i="4"/>
  <c r="J53" i="6"/>
  <c r="P53" i="6"/>
  <c r="M37" i="6"/>
  <c r="P37" i="5"/>
  <c r="K38" i="5"/>
  <c r="M38" i="5" s="1"/>
  <c r="K37" i="5"/>
  <c r="M37" i="5" s="1"/>
  <c r="J38" i="5"/>
  <c r="J47" i="4"/>
  <c r="J39" i="4"/>
  <c r="V54" i="8"/>
  <c r="K126" i="8"/>
  <c r="M126" i="8" s="1"/>
  <c r="P102" i="8"/>
  <c r="P78" i="8"/>
  <c r="P53" i="8"/>
  <c r="J29" i="8"/>
  <c r="J101" i="8"/>
  <c r="T101" i="8"/>
  <c r="V101" i="8" s="1"/>
  <c r="S78" i="8"/>
  <c r="P77" i="8"/>
  <c r="J54" i="8"/>
  <c r="J77" i="4"/>
  <c r="J48" i="8"/>
  <c r="J40" i="8"/>
  <c r="P40" i="8"/>
  <c r="P16" i="8"/>
  <c r="J64" i="4"/>
  <c r="J40" i="4"/>
  <c r="P86" i="8"/>
  <c r="J62" i="8"/>
  <c r="J110" i="8"/>
  <c r="P109" i="8"/>
  <c r="T110" i="8"/>
  <c r="V110" i="8" s="1"/>
  <c r="J85" i="8"/>
  <c r="T85" i="8"/>
  <c r="V85" i="8" s="1"/>
  <c r="S62" i="8"/>
  <c r="M33" i="8"/>
  <c r="V81" i="8"/>
  <c r="V10" i="9"/>
  <c r="V24" i="5"/>
  <c r="P22" i="6"/>
  <c r="J22" i="6"/>
  <c r="V21" i="6"/>
  <c r="S21" i="5"/>
  <c r="J22" i="5"/>
  <c r="P21" i="5"/>
  <c r="P14" i="6"/>
  <c r="J14" i="6"/>
  <c r="P28" i="5"/>
  <c r="T41" i="8"/>
  <c r="V41" i="8" s="1"/>
  <c r="J42" i="8"/>
  <c r="P42" i="8"/>
  <c r="T42" i="8"/>
  <c r="V42" i="8" s="1"/>
  <c r="T37" i="8"/>
  <c r="V37" i="8" s="1"/>
  <c r="K38" i="8"/>
  <c r="M38" i="8" s="1"/>
  <c r="S38" i="8"/>
  <c r="T33" i="8"/>
  <c r="V33" i="8" s="1"/>
  <c r="J34" i="8"/>
  <c r="P34" i="8"/>
  <c r="T34" i="8"/>
  <c r="V34" i="8" s="1"/>
  <c r="T29" i="8"/>
  <c r="V29" i="8" s="1"/>
  <c r="K30" i="8"/>
  <c r="M30" i="8" s="1"/>
  <c r="S30" i="8"/>
  <c r="T25" i="8"/>
  <c r="V25" i="8" s="1"/>
  <c r="J26" i="8"/>
  <c r="P26" i="8"/>
  <c r="T26" i="8"/>
  <c r="V26" i="8" s="1"/>
  <c r="T21" i="8"/>
  <c r="V21" i="8" s="1"/>
  <c r="K22" i="8"/>
  <c r="M22" i="8" s="1"/>
  <c r="S22" i="8"/>
  <c r="T17" i="8"/>
  <c r="V17" i="8" s="1"/>
  <c r="J18" i="8"/>
  <c r="P18" i="8"/>
  <c r="T18" i="8"/>
  <c r="V18" i="8" s="1"/>
  <c r="S13" i="8"/>
  <c r="K13" i="8"/>
  <c r="M13" i="8" s="1"/>
  <c r="T14" i="8"/>
  <c r="V14" i="8" s="1"/>
  <c r="P14" i="8"/>
  <c r="J14" i="8"/>
  <c r="S9" i="8"/>
  <c r="K9" i="8"/>
  <c r="M9" i="8" s="1"/>
  <c r="S10" i="8"/>
  <c r="P10" i="8"/>
  <c r="V64" i="4"/>
  <c r="V63" i="4"/>
  <c r="V61" i="4"/>
  <c r="V62" i="4"/>
  <c r="V60" i="4"/>
  <c r="V59" i="4"/>
  <c r="V57" i="4"/>
  <c r="V58" i="4"/>
  <c r="V56" i="4"/>
  <c r="V55" i="4"/>
  <c r="V52" i="4"/>
  <c r="V51" i="4"/>
  <c r="V48" i="4"/>
  <c r="V47" i="4"/>
  <c r="V44" i="4"/>
  <c r="V43" i="4"/>
  <c r="V40" i="4"/>
  <c r="V39" i="4"/>
  <c r="V36" i="4"/>
  <c r="V35" i="4"/>
  <c r="V32" i="4"/>
  <c r="V31" i="4"/>
  <c r="P126" i="8"/>
  <c r="P122" i="8"/>
  <c r="P118" i="8"/>
  <c r="P114" i="8"/>
  <c r="T102" i="8"/>
  <c r="V102" i="8" s="1"/>
  <c r="J102" i="8"/>
  <c r="P98" i="8"/>
  <c r="T94" i="8"/>
  <c r="V94" i="8" s="1"/>
  <c r="J94" i="8"/>
  <c r="P90" i="8"/>
  <c r="T86" i="8"/>
  <c r="V86" i="8" s="1"/>
  <c r="J86" i="8"/>
  <c r="P82" i="8"/>
  <c r="T78" i="8"/>
  <c r="V78" i="8" s="1"/>
  <c r="J78" i="8"/>
  <c r="P74" i="8"/>
  <c r="P70" i="8"/>
  <c r="T66" i="8"/>
  <c r="V66" i="8" s="1"/>
  <c r="J66" i="8"/>
  <c r="P62" i="8"/>
  <c r="P58" i="8"/>
  <c r="P54" i="8"/>
  <c r="S53" i="8"/>
  <c r="K53" i="8"/>
  <c r="M53" i="8" s="1"/>
  <c r="P49" i="8"/>
  <c r="J49" i="8"/>
  <c r="S45" i="8"/>
  <c r="K45" i="8"/>
  <c r="M45" i="8" s="1"/>
  <c r="S41" i="8"/>
  <c r="K41" i="8"/>
  <c r="M41" i="8" s="1"/>
  <c r="S37" i="8"/>
  <c r="K37" i="8"/>
  <c r="M37" i="8" s="1"/>
  <c r="P33" i="8"/>
  <c r="J33" i="8"/>
  <c r="S29" i="8"/>
  <c r="K29" i="8"/>
  <c r="M29" i="8" s="1"/>
  <c r="S25" i="8"/>
  <c r="K25" i="8"/>
  <c r="M25" i="8" s="1"/>
  <c r="P21" i="8"/>
  <c r="J21" i="8"/>
  <c r="P17" i="8"/>
  <c r="J17" i="8"/>
  <c r="K110" i="8"/>
  <c r="M110" i="8" s="1"/>
  <c r="P110" i="8"/>
  <c r="K109" i="8"/>
  <c r="M109" i="8" s="1"/>
  <c r="S109" i="8"/>
  <c r="K106" i="8"/>
  <c r="M106" i="8" s="1"/>
  <c r="P106" i="8"/>
  <c r="J105" i="8"/>
  <c r="P105" i="8"/>
  <c r="K102" i="8"/>
  <c r="M102" i="8" s="1"/>
  <c r="K101" i="8"/>
  <c r="M101" i="8" s="1"/>
  <c r="S98" i="8"/>
  <c r="J97" i="8"/>
  <c r="P97" i="8"/>
  <c r="K94" i="8"/>
  <c r="M94" i="8" s="1"/>
  <c r="K93" i="8"/>
  <c r="M93" i="8" s="1"/>
  <c r="S90" i="8"/>
  <c r="J89" i="8"/>
  <c r="P89" i="8"/>
  <c r="K86" i="8"/>
  <c r="M86" i="8" s="1"/>
  <c r="K85" i="8"/>
  <c r="M85" i="8" s="1"/>
  <c r="S82" i="8"/>
  <c r="J81" i="8"/>
  <c r="P81" i="8"/>
  <c r="K78" i="8"/>
  <c r="M78" i="8" s="1"/>
  <c r="K77" i="8"/>
  <c r="M77" i="8" s="1"/>
  <c r="S74" i="8"/>
  <c r="K70" i="8"/>
  <c r="M70" i="8" s="1"/>
  <c r="K69" i="8"/>
  <c r="S66" i="8"/>
  <c r="K62" i="8"/>
  <c r="M62" i="8" s="1"/>
  <c r="K61" i="8"/>
  <c r="S58" i="8"/>
  <c r="K54" i="8"/>
  <c r="M54" i="8" s="1"/>
  <c r="T50" i="8"/>
  <c r="V50" i="8" s="1"/>
  <c r="P50" i="8"/>
  <c r="J50" i="8"/>
  <c r="S46" i="8"/>
  <c r="K46" i="8"/>
  <c r="M46" i="8" s="1"/>
  <c r="S42" i="8"/>
  <c r="T38" i="8"/>
  <c r="V38" i="8" s="1"/>
  <c r="J38" i="8"/>
  <c r="K34" i="8"/>
  <c r="M34" i="8" s="1"/>
  <c r="P30" i="8"/>
  <c r="S26" i="8"/>
  <c r="T22" i="8"/>
  <c r="V22" i="8" s="1"/>
  <c r="J22" i="8"/>
  <c r="K18" i="8"/>
  <c r="M18" i="8" s="1"/>
  <c r="J10" i="8"/>
  <c r="S14" i="8"/>
  <c r="P13" i="8"/>
  <c r="K10" i="8"/>
  <c r="M10" i="8" s="1"/>
  <c r="P9" i="8"/>
  <c r="J76" i="9"/>
  <c r="K76" i="9"/>
  <c r="M76" i="9" s="1"/>
  <c r="J72" i="9"/>
  <c r="K72" i="9"/>
  <c r="M72" i="9" s="1"/>
  <c r="K68" i="9"/>
  <c r="T59" i="9"/>
  <c r="V59" i="9" s="1"/>
  <c r="S60" i="9"/>
  <c r="S58" i="9"/>
  <c r="V66" i="9"/>
  <c r="J75" i="4"/>
  <c r="J69" i="4"/>
  <c r="J65" i="4"/>
  <c r="J53" i="4"/>
  <c r="J49" i="4"/>
  <c r="J37" i="4"/>
  <c r="J33" i="4"/>
  <c r="V30" i="9"/>
  <c r="J78" i="4"/>
  <c r="J74" i="4"/>
  <c r="J70" i="4"/>
  <c r="J66" i="4"/>
  <c r="J54" i="4"/>
  <c r="J50" i="4"/>
  <c r="J46" i="4"/>
  <c r="J42" i="4"/>
  <c r="J38" i="4"/>
  <c r="J34" i="4"/>
  <c r="S24" i="9"/>
  <c r="V78" i="4"/>
  <c r="V77" i="4"/>
  <c r="V76" i="4"/>
  <c r="V75" i="4"/>
  <c r="V73" i="4"/>
  <c r="V74" i="4"/>
  <c r="V72" i="4"/>
  <c r="V71" i="4"/>
  <c r="V69" i="4"/>
  <c r="V70" i="4"/>
  <c r="V67" i="4"/>
  <c r="V68" i="4"/>
  <c r="V65" i="4"/>
  <c r="V66" i="4"/>
  <c r="V54" i="4"/>
  <c r="V53" i="4"/>
  <c r="V50" i="4"/>
  <c r="V49" i="4"/>
  <c r="V46" i="4"/>
  <c r="V45" i="4"/>
  <c r="V42" i="4"/>
  <c r="V41" i="4"/>
  <c r="V38" i="4"/>
  <c r="V37" i="4"/>
  <c r="V33" i="4"/>
  <c r="V34" i="4"/>
  <c r="P8" i="5"/>
  <c r="J7" i="6"/>
  <c r="K8" i="6"/>
  <c r="M8" i="6" s="1"/>
  <c r="S78" i="9"/>
  <c r="K78" i="9"/>
  <c r="M78" i="9" s="1"/>
  <c r="S77" i="9"/>
  <c r="K77" i="9"/>
  <c r="M77" i="9" s="1"/>
  <c r="P54" i="9"/>
  <c r="P48" i="9"/>
  <c r="S30" i="9"/>
  <c r="J29" i="9"/>
  <c r="P29" i="9"/>
  <c r="T29" i="9"/>
  <c r="V29" i="9" s="1"/>
  <c r="P30" i="9"/>
  <c r="K66" i="6"/>
  <c r="M66" i="6" s="1"/>
  <c r="S66" i="6"/>
  <c r="K66" i="9"/>
  <c r="M66" i="9" s="1"/>
  <c r="K65" i="9"/>
  <c r="M65" i="9" s="1"/>
  <c r="J66" i="9"/>
  <c r="T42" i="9"/>
  <c r="V42" i="9" s="1"/>
  <c r="T41" i="9"/>
  <c r="V41" i="9" s="1"/>
  <c r="J41" i="9"/>
  <c r="T18" i="9"/>
  <c r="V18" i="9" s="1"/>
  <c r="S17" i="9"/>
  <c r="K18" i="9"/>
  <c r="M18" i="9" s="1"/>
  <c r="T66" i="5"/>
  <c r="V66" i="5" s="1"/>
  <c r="J66" i="5"/>
  <c r="K65" i="5"/>
  <c r="M65" i="5" s="1"/>
  <c r="T65" i="5"/>
  <c r="V65" i="5" s="1"/>
  <c r="K66" i="5"/>
  <c r="M66" i="5" s="1"/>
  <c r="T42" i="5"/>
  <c r="V42" i="5" s="1"/>
  <c r="J42" i="5"/>
  <c r="K41" i="5"/>
  <c r="M41" i="5" s="1"/>
  <c r="K42" i="5"/>
  <c r="M42" i="5" s="1"/>
  <c r="P41" i="5"/>
  <c r="T123" i="8"/>
  <c r="V123" i="8" s="1"/>
  <c r="P123" i="8"/>
  <c r="J123" i="8"/>
  <c r="S124" i="8"/>
  <c r="K100" i="8"/>
  <c r="M100" i="8" s="1"/>
  <c r="S100" i="8"/>
  <c r="K76" i="8"/>
  <c r="M76" i="8" s="1"/>
  <c r="S76" i="8"/>
  <c r="S51" i="6"/>
  <c r="K51" i="6"/>
  <c r="M51" i="6" s="1"/>
  <c r="S52" i="6"/>
  <c r="P52" i="6"/>
  <c r="S51" i="9"/>
  <c r="K51" i="9"/>
  <c r="M51" i="9" s="1"/>
  <c r="S52" i="9"/>
  <c r="T27" i="6"/>
  <c r="V27" i="6" s="1"/>
  <c r="J28" i="6"/>
  <c r="P28" i="6"/>
  <c r="T28" i="6"/>
  <c r="V28" i="6" s="1"/>
  <c r="J27" i="6"/>
  <c r="P27" i="6"/>
  <c r="M89" i="5"/>
  <c r="V90" i="5"/>
  <c r="P89" i="5"/>
  <c r="M90" i="5"/>
  <c r="S18" i="5"/>
  <c r="S27" i="5"/>
  <c r="S75" i="6"/>
  <c r="P52" i="8"/>
  <c r="S76" i="9"/>
  <c r="P76" i="9"/>
  <c r="S72" i="9"/>
  <c r="J64" i="9"/>
  <c r="J54" i="9"/>
  <c r="K59" i="9"/>
  <c r="J48" i="9"/>
  <c r="V46" i="9"/>
  <c r="V38" i="9"/>
  <c r="V78" i="9"/>
  <c r="M64" i="9"/>
  <c r="P72" i="9"/>
  <c r="S64" i="9"/>
  <c r="P62" i="9"/>
  <c r="K60" i="9"/>
  <c r="M60" i="9" s="1"/>
  <c r="J59" i="9"/>
  <c r="P51" i="9"/>
  <c r="M28" i="9"/>
  <c r="P41" i="9"/>
  <c r="S69" i="9"/>
  <c r="M12" i="9"/>
  <c r="J37" i="8"/>
  <c r="S21" i="8"/>
  <c r="S12" i="8"/>
  <c r="S8" i="8"/>
  <c r="S77" i="8"/>
  <c r="M42" i="8"/>
  <c r="M26" i="8"/>
  <c r="S18" i="8"/>
  <c r="J13" i="8"/>
  <c r="J9" i="8"/>
  <c r="V108" i="5"/>
  <c r="M92" i="5"/>
  <c r="M45" i="6"/>
  <c r="V14" i="6"/>
  <c r="M13" i="6"/>
  <c r="S74" i="5"/>
  <c r="P50" i="5"/>
  <c r="M64" i="8"/>
  <c r="M40" i="9"/>
  <c r="J16" i="9"/>
  <c r="P107" i="5"/>
  <c r="K108" i="5"/>
  <c r="M108" i="5" s="1"/>
  <c r="K107" i="5"/>
  <c r="M107" i="5" s="1"/>
  <c r="J108" i="5"/>
  <c r="K91" i="5"/>
  <c r="M91" i="5" s="1"/>
  <c r="T92" i="5"/>
  <c r="V92" i="5" s="1"/>
  <c r="P92" i="5"/>
  <c r="P91" i="5"/>
  <c r="P73" i="5"/>
  <c r="J73" i="5"/>
  <c r="K73" i="5"/>
  <c r="M73" i="5" s="1"/>
  <c r="J74" i="5"/>
  <c r="P74" i="6"/>
  <c r="J49" i="5"/>
  <c r="T49" i="5"/>
  <c r="V49" i="5" s="1"/>
  <c r="S50" i="5"/>
  <c r="S49" i="5"/>
  <c r="J43" i="5"/>
  <c r="T43" i="5"/>
  <c r="V43" i="5" s="1"/>
  <c r="S44" i="5"/>
  <c r="S43" i="5"/>
  <c r="S34" i="6"/>
  <c r="S66" i="9"/>
  <c r="P66" i="9"/>
  <c r="J65" i="9"/>
  <c r="P65" i="9"/>
  <c r="T65" i="9"/>
  <c r="V65" i="9" s="1"/>
  <c r="K42" i="9"/>
  <c r="M42" i="9" s="1"/>
  <c r="K41" i="9"/>
  <c r="M41" i="9" s="1"/>
  <c r="S41" i="9"/>
  <c r="P18" i="9"/>
  <c r="J18" i="9"/>
  <c r="J42" i="9"/>
  <c r="T17" i="9"/>
  <c r="V17" i="9" s="1"/>
  <c r="P17" i="9"/>
  <c r="J17" i="9"/>
  <c r="S112" i="8"/>
  <c r="J111" i="8"/>
  <c r="P111" i="8"/>
  <c r="S88" i="8"/>
  <c r="S64" i="8"/>
  <c r="S40" i="9"/>
  <c r="J23" i="5"/>
  <c r="M18" i="6"/>
  <c r="V13" i="5"/>
  <c r="S14" i="6"/>
  <c r="M14" i="6"/>
  <c r="S13" i="6"/>
  <c r="V13" i="6"/>
  <c r="S8" i="5"/>
  <c r="K7" i="5"/>
  <c r="M7" i="5" s="1"/>
  <c r="J7" i="5"/>
  <c r="K8" i="5"/>
  <c r="M8" i="5" s="1"/>
  <c r="T8" i="5"/>
  <c r="V8" i="5" s="1"/>
  <c r="J8" i="5"/>
  <c r="S7" i="6"/>
  <c r="K7" i="6"/>
  <c r="M7" i="6" s="1"/>
  <c r="T8" i="6"/>
  <c r="V8" i="6" s="1"/>
  <c r="P8" i="6"/>
  <c r="J8" i="6"/>
  <c r="V49" i="8"/>
  <c r="V45" i="8"/>
  <c r="P24" i="5"/>
  <c r="P16" i="5"/>
  <c r="S22" i="9"/>
  <c r="V14" i="9"/>
  <c r="V34" i="9"/>
  <c r="V26" i="9"/>
  <c r="V74" i="9"/>
  <c r="J28" i="9"/>
  <c r="P28" i="9"/>
  <c r="J24" i="9"/>
  <c r="P24" i="9"/>
  <c r="K16" i="9"/>
  <c r="M16" i="9" s="1"/>
  <c r="S16" i="9"/>
  <c r="J12" i="9"/>
  <c r="P12" i="9"/>
  <c r="T8" i="9"/>
  <c r="V8" i="9" s="1"/>
  <c r="K8" i="9"/>
  <c r="M8" i="9" s="1"/>
  <c r="S8" i="9"/>
  <c r="M17" i="9"/>
  <c r="M50" i="9"/>
  <c r="V29" i="6"/>
  <c r="V119" i="8"/>
  <c r="V111" i="8"/>
  <c r="V97" i="8"/>
  <c r="P93" i="8"/>
  <c r="V89" i="8"/>
  <c r="T58" i="6"/>
  <c r="V58" i="6" s="1"/>
  <c r="S57" i="6"/>
  <c r="K57" i="6"/>
  <c r="M57" i="6" s="1"/>
  <c r="T57" i="6"/>
  <c r="V57" i="6" s="1"/>
  <c r="P57" i="6"/>
  <c r="J57" i="6"/>
  <c r="S49" i="6"/>
  <c r="K49" i="6"/>
  <c r="M49" i="6" s="1"/>
  <c r="T49" i="6"/>
  <c r="V49" i="6" s="1"/>
  <c r="P49" i="6"/>
  <c r="J49" i="6"/>
  <c r="T34" i="6"/>
  <c r="V34" i="6" s="1"/>
  <c r="S33" i="6"/>
  <c r="K33" i="6"/>
  <c r="M33" i="6" s="1"/>
  <c r="T33" i="6"/>
  <c r="V33" i="6" s="1"/>
  <c r="P33" i="6"/>
  <c r="J33" i="6"/>
  <c r="T18" i="6"/>
  <c r="V18" i="6" s="1"/>
  <c r="S17" i="6"/>
  <c r="K17" i="6"/>
  <c r="M17" i="6" s="1"/>
  <c r="T17" i="6"/>
  <c r="V17" i="6" s="1"/>
  <c r="P17" i="6"/>
  <c r="J17" i="6"/>
  <c r="S125" i="8"/>
  <c r="K125" i="8"/>
  <c r="M125" i="8" s="1"/>
  <c r="T126" i="8"/>
  <c r="V126" i="8" s="1"/>
  <c r="P125" i="8"/>
  <c r="T125" i="8"/>
  <c r="V125" i="8" s="1"/>
  <c r="J125" i="8"/>
  <c r="T121" i="8"/>
  <c r="V121" i="8" s="1"/>
  <c r="P121" i="8"/>
  <c r="J121" i="8"/>
  <c r="K121" i="8"/>
  <c r="M121" i="8" s="1"/>
  <c r="S121" i="8"/>
  <c r="T122" i="8"/>
  <c r="V122" i="8" s="1"/>
  <c r="S117" i="8"/>
  <c r="K117" i="8"/>
  <c r="M117" i="8" s="1"/>
  <c r="T118" i="8"/>
  <c r="V118" i="8" s="1"/>
  <c r="T117" i="8"/>
  <c r="V117" i="8" s="1"/>
  <c r="J117" i="8"/>
  <c r="P117" i="8"/>
  <c r="T113" i="8"/>
  <c r="V113" i="8" s="1"/>
  <c r="P113" i="8"/>
  <c r="J113" i="8"/>
  <c r="S113" i="8"/>
  <c r="T114" i="8"/>
  <c r="V114" i="8" s="1"/>
  <c r="K113" i="8"/>
  <c r="M113" i="8" s="1"/>
  <c r="T78" i="6"/>
  <c r="V78" i="6" s="1"/>
  <c r="T77" i="6"/>
  <c r="V77" i="6" s="1"/>
  <c r="P77" i="6"/>
  <c r="J77" i="6"/>
  <c r="S77" i="6"/>
  <c r="K77" i="6"/>
  <c r="M77" i="6" s="1"/>
  <c r="T75" i="9"/>
  <c r="K75" i="9"/>
  <c r="T76" i="9"/>
  <c r="V76" i="9" s="1"/>
  <c r="S71" i="9"/>
  <c r="K71" i="9"/>
  <c r="M71" i="9" s="1"/>
  <c r="T72" i="9"/>
  <c r="V72" i="9" s="1"/>
  <c r="T71" i="9"/>
  <c r="V71" i="9" s="1"/>
  <c r="P71" i="9"/>
  <c r="J71" i="9"/>
  <c r="K67" i="9"/>
  <c r="T68" i="9"/>
  <c r="T67" i="9"/>
  <c r="T63" i="9"/>
  <c r="K63" i="9"/>
  <c r="T64" i="9"/>
  <c r="V64" i="9" s="1"/>
  <c r="P60" i="9"/>
  <c r="T60" i="9"/>
  <c r="V60" i="9" s="1"/>
  <c r="J60" i="9"/>
  <c r="T56" i="9"/>
  <c r="V56" i="9" s="1"/>
  <c r="J56" i="9"/>
  <c r="P56" i="9"/>
  <c r="P52" i="9"/>
  <c r="T52" i="9"/>
  <c r="V52" i="9" s="1"/>
  <c r="J52" i="9"/>
  <c r="T47" i="9"/>
  <c r="V47" i="9" s="1"/>
  <c r="P47" i="9"/>
  <c r="J47" i="9"/>
  <c r="S47" i="9"/>
  <c r="K47" i="9"/>
  <c r="M47" i="9" s="1"/>
  <c r="T48" i="9"/>
  <c r="V48" i="9" s="1"/>
  <c r="K43" i="9"/>
  <c r="T44" i="9"/>
  <c r="T43" i="9"/>
  <c r="T39" i="9"/>
  <c r="V39" i="9" s="1"/>
  <c r="P39" i="9"/>
  <c r="J39" i="9"/>
  <c r="S39" i="9"/>
  <c r="K39" i="9"/>
  <c r="M39" i="9" s="1"/>
  <c r="T40" i="9"/>
  <c r="V40" i="9" s="1"/>
  <c r="S35" i="9"/>
  <c r="K35" i="9"/>
  <c r="M35" i="9" s="1"/>
  <c r="T36" i="9"/>
  <c r="V36" i="9" s="1"/>
  <c r="T35" i="9"/>
  <c r="V35" i="9" s="1"/>
  <c r="P35" i="9"/>
  <c r="J35" i="9"/>
  <c r="T31" i="9"/>
  <c r="V31" i="9" s="1"/>
  <c r="P31" i="9"/>
  <c r="J31" i="9"/>
  <c r="S31" i="9"/>
  <c r="K31" i="9"/>
  <c r="M31" i="9" s="1"/>
  <c r="T32" i="9"/>
  <c r="V32" i="9" s="1"/>
  <c r="S27" i="9"/>
  <c r="K27" i="9"/>
  <c r="M27" i="9" s="1"/>
  <c r="T28" i="9"/>
  <c r="V28" i="9" s="1"/>
  <c r="T27" i="9"/>
  <c r="V27" i="9" s="1"/>
  <c r="P27" i="9"/>
  <c r="J27" i="9"/>
  <c r="T23" i="9"/>
  <c r="V23" i="9" s="1"/>
  <c r="P23" i="9"/>
  <c r="J23" i="9"/>
  <c r="S23" i="9"/>
  <c r="K23" i="9"/>
  <c r="M23" i="9" s="1"/>
  <c r="T24" i="9"/>
  <c r="V24" i="9" s="1"/>
  <c r="T19" i="9"/>
  <c r="T20" i="9"/>
  <c r="K19" i="9"/>
  <c r="S15" i="9"/>
  <c r="K15" i="9"/>
  <c r="M15" i="9" s="1"/>
  <c r="T16" i="9"/>
  <c r="V16" i="9" s="1"/>
  <c r="T15" i="9"/>
  <c r="V15" i="9" s="1"/>
  <c r="J15" i="9"/>
  <c r="P15" i="9"/>
  <c r="T11" i="9"/>
  <c r="V11" i="9" s="1"/>
  <c r="P11" i="9"/>
  <c r="J11" i="9"/>
  <c r="K11" i="9"/>
  <c r="M11" i="9" s="1"/>
  <c r="S11" i="9"/>
  <c r="T12" i="9"/>
  <c r="V12" i="9" s="1"/>
  <c r="T7" i="8"/>
  <c r="V7" i="8" s="1"/>
  <c r="P7" i="8"/>
  <c r="J7" i="8"/>
  <c r="S7" i="8"/>
  <c r="K7" i="8"/>
  <c r="M7" i="8" s="1"/>
  <c r="T8" i="8"/>
  <c r="V8" i="8" s="1"/>
  <c r="S7" i="9"/>
  <c r="P7" i="9"/>
  <c r="T7" i="9"/>
  <c r="V7" i="9" s="1"/>
  <c r="V23" i="6"/>
  <c r="V15" i="6"/>
  <c r="V109" i="8"/>
  <c r="V105" i="8"/>
  <c r="T74" i="6"/>
  <c r="V74" i="6" s="1"/>
  <c r="T73" i="6"/>
  <c r="V73" i="6" s="1"/>
  <c r="S73" i="6"/>
  <c r="K73" i="6"/>
  <c r="M73" i="6" s="1"/>
  <c r="P73" i="6"/>
  <c r="J73" i="6"/>
  <c r="T66" i="6"/>
  <c r="V66" i="6" s="1"/>
  <c r="S65" i="6"/>
  <c r="K65" i="6"/>
  <c r="M65" i="6" s="1"/>
  <c r="T65" i="6"/>
  <c r="V65" i="6" s="1"/>
  <c r="P65" i="6"/>
  <c r="J65" i="6"/>
  <c r="T42" i="6"/>
  <c r="V42" i="6" s="1"/>
  <c r="S41" i="6"/>
  <c r="K41" i="6"/>
  <c r="M41" i="6" s="1"/>
  <c r="T41" i="6"/>
  <c r="V41" i="6" s="1"/>
  <c r="P41" i="6"/>
  <c r="J41" i="6"/>
  <c r="T26" i="6"/>
  <c r="V26" i="6" s="1"/>
  <c r="S25" i="6"/>
  <c r="K25" i="6"/>
  <c r="M25" i="6" s="1"/>
  <c r="T25" i="6"/>
  <c r="V25" i="6" s="1"/>
  <c r="P25" i="6"/>
  <c r="J25" i="6"/>
  <c r="T10" i="6"/>
  <c r="V10" i="6" s="1"/>
  <c r="S9" i="6"/>
  <c r="K9" i="6"/>
  <c r="M9" i="6" s="1"/>
  <c r="T9" i="6"/>
  <c r="V9" i="6" s="1"/>
  <c r="P9" i="6"/>
  <c r="J9" i="6"/>
  <c r="T61" i="9"/>
  <c r="S62" i="9"/>
  <c r="K61" i="9"/>
  <c r="T62" i="9"/>
  <c r="V62" i="9" s="1"/>
  <c r="S57" i="9"/>
  <c r="K57" i="9"/>
  <c r="M57" i="9" s="1"/>
  <c r="T58" i="9"/>
  <c r="V58" i="9" s="1"/>
  <c r="T57" i="9"/>
  <c r="V57" i="9" s="1"/>
  <c r="P57" i="9"/>
  <c r="J57" i="9"/>
  <c r="T53" i="9"/>
  <c r="V53" i="9" s="1"/>
  <c r="P53" i="9"/>
  <c r="J53" i="9"/>
  <c r="S53" i="9"/>
  <c r="K53" i="9"/>
  <c r="M53" i="9" s="1"/>
  <c r="T54" i="9"/>
  <c r="V54" i="9" s="1"/>
  <c r="T124" i="8"/>
  <c r="V124" i="8" s="1"/>
  <c r="J124" i="8"/>
  <c r="P124" i="8"/>
  <c r="P120" i="8"/>
  <c r="J120" i="8"/>
  <c r="T120" i="8"/>
  <c r="V120" i="8" s="1"/>
  <c r="T116" i="8"/>
  <c r="P112" i="8"/>
  <c r="T112" i="8"/>
  <c r="V112" i="8" s="1"/>
  <c r="J112" i="8"/>
  <c r="T107" i="8"/>
  <c r="V107" i="8" s="1"/>
  <c r="P107" i="8"/>
  <c r="J107" i="8"/>
  <c r="S107" i="8"/>
  <c r="T108" i="8"/>
  <c r="V108" i="8" s="1"/>
  <c r="K107" i="8"/>
  <c r="M107" i="8" s="1"/>
  <c r="T103" i="8"/>
  <c r="V103" i="8" s="1"/>
  <c r="P103" i="8"/>
  <c r="J103" i="8"/>
  <c r="K103" i="8"/>
  <c r="M103" i="8" s="1"/>
  <c r="S103" i="8"/>
  <c r="T104" i="8"/>
  <c r="V104" i="8" s="1"/>
  <c r="T99" i="8"/>
  <c r="V99" i="8" s="1"/>
  <c r="P99" i="8"/>
  <c r="J99" i="8"/>
  <c r="S99" i="8"/>
  <c r="K99" i="8"/>
  <c r="M99" i="8" s="1"/>
  <c r="T100" i="8"/>
  <c r="V100" i="8" s="1"/>
  <c r="T95" i="8"/>
  <c r="V95" i="8" s="1"/>
  <c r="P95" i="8"/>
  <c r="J95" i="8"/>
  <c r="S95" i="8"/>
  <c r="K95" i="8"/>
  <c r="M95" i="8" s="1"/>
  <c r="T96" i="8"/>
  <c r="V96" i="8" s="1"/>
  <c r="T91" i="8"/>
  <c r="K91" i="8"/>
  <c r="T92" i="8"/>
  <c r="T87" i="8"/>
  <c r="V87" i="8" s="1"/>
  <c r="P87" i="8"/>
  <c r="J87" i="8"/>
  <c r="S87" i="8"/>
  <c r="K87" i="8"/>
  <c r="M87" i="8" s="1"/>
  <c r="T88" i="8"/>
  <c r="V88" i="8" s="1"/>
  <c r="T83" i="8"/>
  <c r="V83" i="8" s="1"/>
  <c r="P83" i="8"/>
  <c r="J83" i="8"/>
  <c r="S83" i="8"/>
  <c r="K83" i="8"/>
  <c r="M83" i="8" s="1"/>
  <c r="T84" i="8"/>
  <c r="V84" i="8" s="1"/>
  <c r="T79" i="8"/>
  <c r="V79" i="8" s="1"/>
  <c r="P79" i="8"/>
  <c r="J79" i="8"/>
  <c r="S79" i="8"/>
  <c r="K79" i="8"/>
  <c r="M79" i="8" s="1"/>
  <c r="T80" i="8"/>
  <c r="V80" i="8" s="1"/>
  <c r="T75" i="8"/>
  <c r="V75" i="8" s="1"/>
  <c r="P75" i="8"/>
  <c r="J75" i="8"/>
  <c r="S75" i="8"/>
  <c r="K75" i="8"/>
  <c r="M75" i="8" s="1"/>
  <c r="T76" i="8"/>
  <c r="V76" i="8" s="1"/>
  <c r="T71" i="8"/>
  <c r="V71" i="8" s="1"/>
  <c r="P71" i="8"/>
  <c r="J71" i="8"/>
  <c r="S71" i="8"/>
  <c r="K71" i="8"/>
  <c r="M71" i="8" s="1"/>
  <c r="T72" i="8"/>
  <c r="V72" i="8" s="1"/>
  <c r="T67" i="8"/>
  <c r="K67" i="8"/>
  <c r="T68" i="8"/>
  <c r="T63" i="8"/>
  <c r="V63" i="8" s="1"/>
  <c r="P63" i="8"/>
  <c r="J63" i="8"/>
  <c r="S63" i="8"/>
  <c r="K63" i="8"/>
  <c r="M63" i="8" s="1"/>
  <c r="T64" i="8"/>
  <c r="V64" i="8" s="1"/>
  <c r="T59" i="8"/>
  <c r="V59" i="8" s="1"/>
  <c r="P59" i="8"/>
  <c r="J59" i="8"/>
  <c r="S59" i="8"/>
  <c r="K59" i="8"/>
  <c r="M59" i="8" s="1"/>
  <c r="T60" i="8"/>
  <c r="V60" i="8" s="1"/>
  <c r="T55" i="8"/>
  <c r="V55" i="8" s="1"/>
  <c r="P55" i="8"/>
  <c r="J55" i="8"/>
  <c r="S55" i="8"/>
  <c r="K55" i="8"/>
  <c r="M55" i="8" s="1"/>
  <c r="T56" i="8"/>
  <c r="V56" i="8" s="1"/>
  <c r="K51" i="8"/>
  <c r="T52" i="8"/>
  <c r="V52" i="8" s="1"/>
  <c r="T51" i="8"/>
  <c r="K47" i="8"/>
  <c r="T48" i="8"/>
  <c r="V48" i="8" s="1"/>
  <c r="T47" i="8"/>
  <c r="K43" i="8"/>
  <c r="T44" i="8"/>
  <c r="T43" i="8"/>
  <c r="K39" i="8"/>
  <c r="T40" i="8"/>
  <c r="V40" i="8" s="1"/>
  <c r="T39" i="8"/>
  <c r="S35" i="8"/>
  <c r="K35" i="8"/>
  <c r="M35" i="8" s="1"/>
  <c r="T36" i="8"/>
  <c r="V36" i="8" s="1"/>
  <c r="T35" i="8"/>
  <c r="V35" i="8" s="1"/>
  <c r="P35" i="8"/>
  <c r="J35" i="8"/>
  <c r="K31" i="8"/>
  <c r="T32" i="8"/>
  <c r="V32" i="8" s="1"/>
  <c r="T31" i="8"/>
  <c r="T27" i="8"/>
  <c r="V27" i="8" s="1"/>
  <c r="P27" i="8"/>
  <c r="J27" i="8"/>
  <c r="S27" i="8"/>
  <c r="K27" i="8"/>
  <c r="M27" i="8" s="1"/>
  <c r="T28" i="8"/>
  <c r="V28" i="8" s="1"/>
  <c r="S23" i="8"/>
  <c r="K23" i="8"/>
  <c r="M23" i="8" s="1"/>
  <c r="T24" i="8"/>
  <c r="V24" i="8" s="1"/>
  <c r="T23" i="8"/>
  <c r="V23" i="8" s="1"/>
  <c r="P23" i="8"/>
  <c r="J23" i="8"/>
  <c r="T19" i="8"/>
  <c r="K19" i="8"/>
  <c r="T20" i="8"/>
  <c r="T15" i="8"/>
  <c r="V15" i="8" s="1"/>
  <c r="P15" i="8"/>
  <c r="J15" i="8"/>
  <c r="S15" i="8"/>
  <c r="K15" i="8"/>
  <c r="M15" i="8" s="1"/>
  <c r="T16" i="8"/>
  <c r="V16" i="8" s="1"/>
  <c r="T11" i="8"/>
  <c r="V11" i="8" s="1"/>
  <c r="P11" i="8"/>
  <c r="J11" i="8"/>
  <c r="S11" i="8"/>
  <c r="K11" i="8"/>
  <c r="M11" i="8" s="1"/>
  <c r="T12" i="8"/>
  <c r="V12" i="8" s="1"/>
  <c r="V19" i="6"/>
  <c r="V11" i="6"/>
  <c r="V7" i="6"/>
  <c r="Q34" i="77" l="1"/>
  <c r="Q33" i="77"/>
  <c r="N34" i="77"/>
  <c r="N33" i="77"/>
  <c r="K34" i="77"/>
  <c r="K33" i="77"/>
  <c r="H34" i="77"/>
  <c r="H33" i="77"/>
  <c r="Q8" i="77"/>
  <c r="N7" i="77"/>
  <c r="Q7" i="77"/>
  <c r="N8" i="77"/>
  <c r="K7" i="77"/>
  <c r="H8" i="77"/>
  <c r="H7" i="77"/>
  <c r="K8" i="77"/>
  <c r="Q10" i="77"/>
  <c r="Q9" i="77"/>
  <c r="N10" i="77"/>
  <c r="N9" i="77"/>
  <c r="K10" i="77"/>
  <c r="K9" i="77"/>
  <c r="H10" i="77"/>
  <c r="H9" i="77"/>
  <c r="N68" i="79"/>
  <c r="N67" i="79"/>
  <c r="Q68" i="79"/>
  <c r="Q67" i="79"/>
  <c r="K67" i="79"/>
  <c r="H68" i="79"/>
  <c r="H67" i="79"/>
  <c r="K68" i="79"/>
  <c r="N20" i="79"/>
  <c r="Q20" i="79"/>
  <c r="N19" i="79"/>
  <c r="Q19" i="79"/>
  <c r="K19" i="79"/>
  <c r="H20" i="79"/>
  <c r="H19" i="79"/>
  <c r="K20" i="79"/>
  <c r="N64" i="77"/>
  <c r="Q64" i="77"/>
  <c r="Q63" i="77"/>
  <c r="N63" i="77"/>
  <c r="K63" i="77"/>
  <c r="H64" i="77"/>
  <c r="K64" i="77"/>
  <c r="H63" i="77"/>
  <c r="Q12" i="77"/>
  <c r="N11" i="77"/>
  <c r="Q11" i="77"/>
  <c r="N12" i="77"/>
  <c r="K11" i="77"/>
  <c r="H12" i="77"/>
  <c r="H11" i="77"/>
  <c r="K12" i="77"/>
  <c r="Q62" i="77"/>
  <c r="Q61" i="77"/>
  <c r="N62" i="77"/>
  <c r="N61" i="77"/>
  <c r="K62" i="77"/>
  <c r="K61" i="77"/>
  <c r="H62" i="77"/>
  <c r="H61" i="77"/>
  <c r="Q54" i="77"/>
  <c r="Q53" i="77"/>
  <c r="N54" i="77"/>
  <c r="N53" i="77"/>
  <c r="K54" i="77"/>
  <c r="K53" i="77"/>
  <c r="H54" i="77"/>
  <c r="H53" i="77"/>
  <c r="N56" i="79"/>
  <c r="N55" i="79"/>
  <c r="Q56" i="79"/>
  <c r="Q55" i="79"/>
  <c r="K55" i="79"/>
  <c r="H56" i="79"/>
  <c r="K56" i="79"/>
  <c r="H55" i="79"/>
  <c r="Q74" i="77"/>
  <c r="Q73" i="77"/>
  <c r="N74" i="77"/>
  <c r="N73" i="77"/>
  <c r="K74" i="77"/>
  <c r="K73" i="77"/>
  <c r="H74" i="77"/>
  <c r="H73" i="77"/>
  <c r="Q18" i="77"/>
  <c r="Q17" i="77"/>
  <c r="N18" i="77"/>
  <c r="N17" i="77"/>
  <c r="K18" i="77"/>
  <c r="K17" i="77"/>
  <c r="H18" i="77"/>
  <c r="H17" i="77"/>
  <c r="Q66" i="79"/>
  <c r="Q65" i="79"/>
  <c r="N66" i="79"/>
  <c r="N65" i="79"/>
  <c r="K66" i="79"/>
  <c r="K65" i="79"/>
  <c r="H66" i="79"/>
  <c r="H65" i="79"/>
  <c r="Q22" i="79"/>
  <c r="Q21" i="79"/>
  <c r="N22" i="79"/>
  <c r="N21" i="79"/>
  <c r="K22" i="79"/>
  <c r="K21" i="79"/>
  <c r="H22" i="79"/>
  <c r="H21" i="79"/>
  <c r="Q42" i="77"/>
  <c r="Q41" i="77"/>
  <c r="N42" i="77"/>
  <c r="N41" i="77"/>
  <c r="K42" i="77"/>
  <c r="K41" i="77"/>
  <c r="H42" i="77"/>
  <c r="H41" i="77"/>
  <c r="Q66" i="77"/>
  <c r="Q65" i="77"/>
  <c r="N66" i="77"/>
  <c r="N65" i="77"/>
  <c r="K66" i="77"/>
  <c r="K65" i="77"/>
  <c r="H66" i="77"/>
  <c r="H65" i="77"/>
  <c r="Q78" i="77"/>
  <c r="Q77" i="77"/>
  <c r="N78" i="77"/>
  <c r="N77" i="77"/>
  <c r="K78" i="77"/>
  <c r="K77" i="77"/>
  <c r="H78" i="77"/>
  <c r="H77" i="77"/>
  <c r="Q22" i="77"/>
  <c r="Q21" i="77"/>
  <c r="N22" i="77"/>
  <c r="N21" i="77"/>
  <c r="K22" i="77"/>
  <c r="K21" i="77"/>
  <c r="H22" i="77"/>
  <c r="H21" i="77"/>
  <c r="N76" i="79"/>
  <c r="N75" i="79"/>
  <c r="Q76" i="79"/>
  <c r="Q75" i="79"/>
  <c r="K75" i="79"/>
  <c r="K76" i="79"/>
  <c r="H76" i="79"/>
  <c r="H75" i="79"/>
  <c r="N28" i="79"/>
  <c r="Q28" i="79"/>
  <c r="Q27" i="79"/>
  <c r="N27" i="79"/>
  <c r="K27" i="79"/>
  <c r="K28" i="79"/>
  <c r="H28" i="79"/>
  <c r="H27" i="79"/>
  <c r="Q30" i="77"/>
  <c r="Q29" i="77"/>
  <c r="N30" i="77"/>
  <c r="N29" i="77"/>
  <c r="K30" i="77"/>
  <c r="K29" i="77"/>
  <c r="H30" i="77"/>
  <c r="H29" i="77"/>
  <c r="N72" i="77"/>
  <c r="Q72" i="77"/>
  <c r="N71" i="77"/>
  <c r="Q71" i="77"/>
  <c r="K71" i="77"/>
  <c r="H72" i="77"/>
  <c r="H71" i="77"/>
  <c r="K72" i="77"/>
  <c r="Q16" i="77"/>
  <c r="N15" i="77"/>
  <c r="Q15" i="77"/>
  <c r="N16" i="77"/>
  <c r="K15" i="77"/>
  <c r="H16" i="77"/>
  <c r="K16" i="77"/>
  <c r="H15" i="77"/>
  <c r="Q58" i="77"/>
  <c r="Q57" i="77"/>
  <c r="N58" i="77"/>
  <c r="N57" i="77"/>
  <c r="K58" i="77"/>
  <c r="K57" i="77"/>
  <c r="H58" i="77"/>
  <c r="H57" i="77"/>
  <c r="Q36" i="77"/>
  <c r="Q35" i="77"/>
  <c r="N35" i="77"/>
  <c r="N36" i="77"/>
  <c r="K35" i="77"/>
  <c r="K36" i="77"/>
  <c r="H36" i="77"/>
  <c r="H35" i="77"/>
  <c r="Q20" i="77"/>
  <c r="Q19" i="77"/>
  <c r="N19" i="77"/>
  <c r="N20" i="77"/>
  <c r="K19" i="77"/>
  <c r="K20" i="77"/>
  <c r="H20" i="77"/>
  <c r="H19" i="77"/>
  <c r="Q70" i="77"/>
  <c r="Q69" i="77"/>
  <c r="N70" i="77"/>
  <c r="N69" i="77"/>
  <c r="K70" i="77"/>
  <c r="K69" i="77"/>
  <c r="H70" i="77"/>
  <c r="H69" i="77"/>
  <c r="Q14" i="79"/>
  <c r="Q13" i="79"/>
  <c r="N14" i="79"/>
  <c r="N13" i="79"/>
  <c r="K14" i="79"/>
  <c r="K13" i="79"/>
  <c r="H14" i="79"/>
  <c r="H13" i="79"/>
  <c r="N60" i="77"/>
  <c r="Q60" i="77"/>
  <c r="N59" i="77"/>
  <c r="Q59" i="77"/>
  <c r="K59" i="77"/>
  <c r="H60" i="77"/>
  <c r="H59" i="77"/>
  <c r="K60" i="77"/>
  <c r="N64" i="79"/>
  <c r="N63" i="79"/>
  <c r="Q64" i="79"/>
  <c r="Q63" i="79"/>
  <c r="K63" i="79"/>
  <c r="H64" i="79"/>
  <c r="H63" i="79"/>
  <c r="K64" i="79"/>
  <c r="N16" i="79"/>
  <c r="Q16" i="79"/>
  <c r="N15" i="79"/>
  <c r="Q15" i="79"/>
  <c r="K15" i="79"/>
  <c r="H16" i="79"/>
  <c r="H15" i="79"/>
  <c r="K16" i="79"/>
  <c r="Q50" i="77"/>
  <c r="Q49" i="77"/>
  <c r="N50" i="77"/>
  <c r="N49" i="77"/>
  <c r="K50" i="77"/>
  <c r="K49" i="77"/>
  <c r="H50" i="77"/>
  <c r="H49" i="77"/>
  <c r="Q38" i="77"/>
  <c r="Q37" i="77"/>
  <c r="N38" i="77"/>
  <c r="N37" i="77"/>
  <c r="K38" i="77"/>
  <c r="K37" i="77"/>
  <c r="H38" i="77"/>
  <c r="H37" i="77"/>
  <c r="Q30" i="79"/>
  <c r="Q29" i="79"/>
  <c r="N30" i="79"/>
  <c r="N29" i="79"/>
  <c r="K30" i="79"/>
  <c r="K29" i="79"/>
  <c r="H30" i="79"/>
  <c r="H29" i="79"/>
  <c r="Q40" i="77"/>
  <c r="N39" i="77"/>
  <c r="Q39" i="77"/>
  <c r="N40" i="77"/>
  <c r="K39" i="77"/>
  <c r="H40" i="77"/>
  <c r="H39" i="77"/>
  <c r="K40" i="77"/>
  <c r="N44" i="79"/>
  <c r="Q44" i="79"/>
  <c r="Q43" i="79"/>
  <c r="N43" i="79"/>
  <c r="K43" i="79"/>
  <c r="K44" i="79"/>
  <c r="H44" i="79"/>
  <c r="H43" i="79"/>
  <c r="Q32" i="77"/>
  <c r="N31" i="77"/>
  <c r="Q31" i="77"/>
  <c r="N32" i="77"/>
  <c r="K31" i="77"/>
  <c r="H32" i="77"/>
  <c r="K32" i="77"/>
  <c r="H31" i="77"/>
  <c r="Q24" i="77"/>
  <c r="N23" i="77"/>
  <c r="Q23" i="77"/>
  <c r="N24" i="77"/>
  <c r="K23" i="77"/>
  <c r="H24" i="77"/>
  <c r="H23" i="77"/>
  <c r="K24" i="77"/>
  <c r="Q44" i="77"/>
  <c r="N43" i="77"/>
  <c r="Q43" i="77"/>
  <c r="N44" i="77"/>
  <c r="K43" i="77"/>
  <c r="H44" i="77"/>
  <c r="H43" i="77"/>
  <c r="K44" i="77"/>
  <c r="Q28" i="77"/>
  <c r="N27" i="77"/>
  <c r="Q27" i="77"/>
  <c r="N28" i="77"/>
  <c r="K27" i="77"/>
  <c r="H28" i="77"/>
  <c r="H27" i="77"/>
  <c r="K28" i="77"/>
  <c r="Q78" i="79"/>
  <c r="Q77" i="79"/>
  <c r="N78" i="79"/>
  <c r="N77" i="79"/>
  <c r="K78" i="79"/>
  <c r="K77" i="79"/>
  <c r="H78" i="79"/>
  <c r="H77" i="79"/>
  <c r="Q10" i="79"/>
  <c r="Q9" i="79"/>
  <c r="N10" i="79"/>
  <c r="N9" i="79"/>
  <c r="K10" i="79"/>
  <c r="K9" i="79"/>
  <c r="H10" i="79"/>
  <c r="H9" i="79"/>
  <c r="N68" i="77"/>
  <c r="Q68" i="77"/>
  <c r="Q67" i="77"/>
  <c r="N67" i="77"/>
  <c r="K67" i="77"/>
  <c r="K68" i="77"/>
  <c r="H68" i="77"/>
  <c r="H67" i="77"/>
  <c r="Q62" i="79"/>
  <c r="Q61" i="79"/>
  <c r="N62" i="79"/>
  <c r="N61" i="79"/>
  <c r="K62" i="79"/>
  <c r="K61" i="79"/>
  <c r="H62" i="79"/>
  <c r="H61" i="79"/>
  <c r="N72" i="79"/>
  <c r="N71" i="79"/>
  <c r="Q72" i="79"/>
  <c r="Q71" i="79"/>
  <c r="K71" i="79"/>
  <c r="H72" i="79"/>
  <c r="K72" i="79"/>
  <c r="H71" i="79"/>
  <c r="N24" i="79"/>
  <c r="Q24" i="79"/>
  <c r="Q23" i="79"/>
  <c r="N23" i="79"/>
  <c r="K23" i="79"/>
  <c r="H24" i="79"/>
  <c r="K24" i="79"/>
  <c r="H23" i="79"/>
  <c r="Q58" i="79"/>
  <c r="Q57" i="79"/>
  <c r="N58" i="79"/>
  <c r="N57" i="79"/>
  <c r="K58" i="79"/>
  <c r="K57" i="79"/>
  <c r="H58" i="79"/>
  <c r="H57" i="79"/>
  <c r="Q46" i="79"/>
  <c r="Q45" i="79"/>
  <c r="N46" i="79"/>
  <c r="N45" i="79"/>
  <c r="K46" i="79"/>
  <c r="K45" i="79"/>
  <c r="H46" i="79"/>
  <c r="H45" i="79"/>
  <c r="Q48" i="77"/>
  <c r="N47" i="77"/>
  <c r="Q47" i="77"/>
  <c r="N48" i="77"/>
  <c r="K47" i="77"/>
  <c r="H48" i="77"/>
  <c r="K48" i="77"/>
  <c r="H47" i="77"/>
  <c r="Q74" i="79"/>
  <c r="Q73" i="79"/>
  <c r="N74" i="79"/>
  <c r="N73" i="79"/>
  <c r="K74" i="79"/>
  <c r="K73" i="79"/>
  <c r="H74" i="79"/>
  <c r="H73" i="79"/>
  <c r="N60" i="79"/>
  <c r="N59" i="79"/>
  <c r="Q60" i="79"/>
  <c r="Q59" i="79"/>
  <c r="K59" i="79"/>
  <c r="K60" i="79"/>
  <c r="H60" i="79"/>
  <c r="H59" i="79"/>
  <c r="N12" i="79"/>
  <c r="Q12" i="79"/>
  <c r="Q11" i="79"/>
  <c r="N11" i="79"/>
  <c r="K11" i="79"/>
  <c r="K12" i="79"/>
  <c r="H12" i="79"/>
  <c r="H11" i="79"/>
  <c r="Q46" i="77"/>
  <c r="Q45" i="77"/>
  <c r="N46" i="77"/>
  <c r="N45" i="77"/>
  <c r="K46" i="77"/>
  <c r="K45" i="77"/>
  <c r="H46" i="77"/>
  <c r="H45" i="77"/>
  <c r="N56" i="77"/>
  <c r="Q56" i="77"/>
  <c r="Q55" i="77"/>
  <c r="N55" i="77"/>
  <c r="K55" i="77"/>
  <c r="H56" i="77"/>
  <c r="H55" i="77"/>
  <c r="K56" i="77"/>
  <c r="N52" i="77"/>
  <c r="Q52" i="77"/>
  <c r="Q51" i="77"/>
  <c r="N51" i="77"/>
  <c r="K51" i="77"/>
  <c r="K52" i="77"/>
  <c r="H52" i="77"/>
  <c r="H51" i="77"/>
  <c r="N76" i="77"/>
  <c r="Q76" i="77"/>
  <c r="N75" i="77"/>
  <c r="Q75" i="77"/>
  <c r="K75" i="77"/>
  <c r="H76" i="77"/>
  <c r="H75" i="77"/>
  <c r="K76" i="77"/>
  <c r="Q70" i="79"/>
  <c r="Q69" i="79"/>
  <c r="N70" i="79"/>
  <c r="N69" i="79"/>
  <c r="K70" i="79"/>
  <c r="K69" i="79"/>
  <c r="H70" i="79"/>
  <c r="H69" i="79"/>
  <c r="Q14" i="77"/>
  <c r="Q13" i="77"/>
  <c r="N14" i="77"/>
  <c r="N13" i="77"/>
  <c r="K14" i="77"/>
  <c r="K13" i="77"/>
  <c r="H14" i="77"/>
  <c r="H13" i="77"/>
  <c r="Q26" i="79"/>
  <c r="Q25" i="79"/>
  <c r="N26" i="79"/>
  <c r="N25" i="79"/>
  <c r="K26" i="79"/>
  <c r="K25" i="79"/>
  <c r="H26" i="79"/>
  <c r="H25" i="79"/>
  <c r="N32" i="79"/>
  <c r="Q32" i="79"/>
  <c r="Q31" i="79"/>
  <c r="N31" i="79"/>
  <c r="K31" i="79"/>
  <c r="H32" i="79"/>
  <c r="H31" i="79"/>
  <c r="K32" i="79"/>
  <c r="Q18" i="79"/>
  <c r="Q17" i="79"/>
  <c r="N18" i="79"/>
  <c r="N17" i="79"/>
  <c r="K18" i="79"/>
  <c r="K17" i="79"/>
  <c r="H18" i="79"/>
  <c r="H17" i="79"/>
  <c r="Q14" i="76"/>
  <c r="Q13" i="76"/>
  <c r="N13" i="76"/>
  <c r="N14" i="76"/>
  <c r="K14" i="76"/>
  <c r="H14" i="76"/>
  <c r="K13" i="76"/>
  <c r="H13" i="76"/>
  <c r="Q10" i="76"/>
  <c r="N10" i="76"/>
  <c r="Q9" i="76"/>
  <c r="N9" i="76"/>
  <c r="K10" i="76"/>
  <c r="H10" i="76"/>
  <c r="K9" i="76"/>
  <c r="H9" i="76"/>
  <c r="Q40" i="76"/>
  <c r="N40" i="76"/>
  <c r="Q39" i="76"/>
  <c r="N39" i="76"/>
  <c r="K39" i="76"/>
  <c r="K40" i="76"/>
  <c r="H40" i="76"/>
  <c r="H39" i="76"/>
  <c r="Q56" i="76"/>
  <c r="N56" i="76"/>
  <c r="Q55" i="76"/>
  <c r="N55" i="76"/>
  <c r="K55" i="76"/>
  <c r="H55" i="76"/>
  <c r="K56" i="76"/>
  <c r="H56" i="76"/>
  <c r="Q8" i="76"/>
  <c r="N8" i="76"/>
  <c r="Q7" i="76"/>
  <c r="N7" i="76"/>
  <c r="K7" i="76"/>
  <c r="K8" i="76"/>
  <c r="H8" i="76"/>
  <c r="H7" i="76"/>
  <c r="Q60" i="76"/>
  <c r="N60" i="76"/>
  <c r="Q59" i="76"/>
  <c r="N59" i="76"/>
  <c r="K59" i="76"/>
  <c r="K60" i="76"/>
  <c r="H60" i="76"/>
  <c r="H59" i="76"/>
  <c r="Q52" i="76"/>
  <c r="N52" i="76"/>
  <c r="Q51" i="76"/>
  <c r="N51" i="76"/>
  <c r="K51" i="76"/>
  <c r="K52" i="76"/>
  <c r="H52" i="76"/>
  <c r="H51" i="76"/>
  <c r="Q78" i="76"/>
  <c r="Q77" i="76"/>
  <c r="N77" i="76"/>
  <c r="N78" i="76"/>
  <c r="K78" i="76"/>
  <c r="H78" i="76"/>
  <c r="K77" i="76"/>
  <c r="H77" i="76"/>
  <c r="Q64" i="76"/>
  <c r="N64" i="76"/>
  <c r="Q63" i="76"/>
  <c r="N63" i="76"/>
  <c r="K63" i="76"/>
  <c r="K64" i="76"/>
  <c r="H64" i="76"/>
  <c r="H63" i="76"/>
  <c r="Q48" i="76"/>
  <c r="N48" i="76"/>
  <c r="Q47" i="76"/>
  <c r="N47" i="76"/>
  <c r="K47" i="76"/>
  <c r="K48" i="76"/>
  <c r="H48" i="76"/>
  <c r="H47" i="76"/>
  <c r="Q50" i="76"/>
  <c r="Q49" i="76"/>
  <c r="N49" i="76"/>
  <c r="N50" i="76"/>
  <c r="K50" i="76"/>
  <c r="H50" i="76"/>
  <c r="K49" i="76"/>
  <c r="H49" i="76"/>
  <c r="Q46" i="76"/>
  <c r="N46" i="76"/>
  <c r="Q45" i="76"/>
  <c r="N45" i="76"/>
  <c r="K46" i="76"/>
  <c r="H46" i="76"/>
  <c r="K45" i="76"/>
  <c r="H45" i="76"/>
  <c r="Q30" i="76"/>
  <c r="Q29" i="76"/>
  <c r="N29" i="76"/>
  <c r="N30" i="76"/>
  <c r="K30" i="76"/>
  <c r="H30" i="76"/>
  <c r="K29" i="76"/>
  <c r="H29" i="76"/>
  <c r="Q68" i="76"/>
  <c r="N68" i="76"/>
  <c r="Q67" i="76"/>
  <c r="N67" i="76"/>
  <c r="K67" i="76"/>
  <c r="H67" i="76"/>
  <c r="K68" i="76"/>
  <c r="H68" i="76"/>
  <c r="Q12" i="76"/>
  <c r="N12" i="76"/>
  <c r="Q11" i="76"/>
  <c r="N11" i="76"/>
  <c r="K11" i="76"/>
  <c r="H11" i="76"/>
  <c r="K12" i="76"/>
  <c r="H12" i="76"/>
  <c r="Q18" i="76"/>
  <c r="Q17" i="76"/>
  <c r="N17" i="76"/>
  <c r="N18" i="76"/>
  <c r="K18" i="76"/>
  <c r="H18" i="76"/>
  <c r="K17" i="76"/>
  <c r="H17" i="76"/>
  <c r="Q66" i="76"/>
  <c r="Q65" i="76"/>
  <c r="N65" i="76"/>
  <c r="N66" i="76"/>
  <c r="K66" i="76"/>
  <c r="H66" i="76"/>
  <c r="K65" i="76"/>
  <c r="H65" i="76"/>
  <c r="Q34" i="76"/>
  <c r="N34" i="76"/>
  <c r="Q33" i="76"/>
  <c r="N33" i="76"/>
  <c r="K34" i="76"/>
  <c r="H34" i="76"/>
  <c r="K33" i="76"/>
  <c r="H33" i="76"/>
  <c r="Q22" i="76"/>
  <c r="N22" i="76"/>
  <c r="Q21" i="76"/>
  <c r="N21" i="76"/>
  <c r="K22" i="76"/>
  <c r="H22" i="76"/>
  <c r="K21" i="76"/>
  <c r="H21" i="76"/>
  <c r="Q72" i="76"/>
  <c r="N72" i="76"/>
  <c r="Q71" i="76"/>
  <c r="N71" i="76"/>
  <c r="K71" i="76"/>
  <c r="K72" i="76"/>
  <c r="H72" i="76"/>
  <c r="H71" i="76"/>
  <c r="Q16" i="76"/>
  <c r="N16" i="76"/>
  <c r="Q15" i="76"/>
  <c r="N15" i="76"/>
  <c r="K15" i="76"/>
  <c r="K16" i="76"/>
  <c r="H16" i="76"/>
  <c r="H15" i="76"/>
  <c r="Q76" i="76"/>
  <c r="N76" i="76"/>
  <c r="Q75" i="76"/>
  <c r="N75" i="76"/>
  <c r="K75" i="76"/>
  <c r="K76" i="76"/>
  <c r="H76" i="76"/>
  <c r="H75" i="76"/>
  <c r="Q20" i="76"/>
  <c r="N20" i="76"/>
  <c r="Q19" i="76"/>
  <c r="N19" i="76"/>
  <c r="K19" i="76"/>
  <c r="K20" i="76"/>
  <c r="H20" i="76"/>
  <c r="H19" i="76"/>
  <c r="Q62" i="76"/>
  <c r="N62" i="76"/>
  <c r="Q61" i="76"/>
  <c r="N61" i="76"/>
  <c r="K62" i="76"/>
  <c r="H62" i="76"/>
  <c r="K61" i="76"/>
  <c r="H61" i="76"/>
  <c r="Q42" i="76"/>
  <c r="Q41" i="76"/>
  <c r="N41" i="76"/>
  <c r="N42" i="76"/>
  <c r="K42" i="76"/>
  <c r="H42" i="76"/>
  <c r="K41" i="76"/>
  <c r="H41" i="76"/>
  <c r="Q38" i="76"/>
  <c r="Q37" i="76"/>
  <c r="N37" i="76"/>
  <c r="N38" i="76"/>
  <c r="K38" i="76"/>
  <c r="H38" i="76"/>
  <c r="K37" i="76"/>
  <c r="H37" i="76"/>
  <c r="Q26" i="76"/>
  <c r="Q25" i="76"/>
  <c r="N25" i="76"/>
  <c r="N26" i="76"/>
  <c r="K26" i="76"/>
  <c r="H26" i="76"/>
  <c r="K25" i="76"/>
  <c r="H25" i="76"/>
  <c r="Q32" i="76"/>
  <c r="N32" i="76"/>
  <c r="Q31" i="76"/>
  <c r="N31" i="76"/>
  <c r="K31" i="76"/>
  <c r="K32" i="76"/>
  <c r="H32" i="76"/>
  <c r="H31" i="76"/>
  <c r="Q24" i="76"/>
  <c r="N24" i="76"/>
  <c r="Q23" i="76"/>
  <c r="N23" i="76"/>
  <c r="K23" i="76"/>
  <c r="H23" i="76"/>
  <c r="K24" i="76"/>
  <c r="H24" i="76"/>
  <c r="Q58" i="76"/>
  <c r="Q57" i="76"/>
  <c r="N57" i="76"/>
  <c r="P57" i="76" s="1"/>
  <c r="N58" i="76"/>
  <c r="K58" i="76"/>
  <c r="H58" i="76"/>
  <c r="K57" i="76"/>
  <c r="H57" i="76"/>
  <c r="Q74" i="76"/>
  <c r="N74" i="76"/>
  <c r="Q73" i="76"/>
  <c r="N73" i="76"/>
  <c r="K74" i="76"/>
  <c r="H74" i="76"/>
  <c r="K73" i="76"/>
  <c r="H73" i="76"/>
  <c r="Q44" i="76"/>
  <c r="N44" i="76"/>
  <c r="Q43" i="76"/>
  <c r="N43" i="76"/>
  <c r="H43" i="76"/>
  <c r="K44" i="76"/>
  <c r="H44" i="76"/>
  <c r="K43" i="76"/>
  <c r="Q28" i="76"/>
  <c r="N28" i="76"/>
  <c r="Q27" i="76"/>
  <c r="N27" i="76"/>
  <c r="K27" i="76"/>
  <c r="M27" i="76" s="1"/>
  <c r="K28" i="76"/>
  <c r="H28" i="76"/>
  <c r="H27" i="76"/>
  <c r="Q70" i="76"/>
  <c r="Q69" i="76"/>
  <c r="N69" i="76"/>
  <c r="N70" i="76"/>
  <c r="K70" i="76"/>
  <c r="H70" i="76"/>
  <c r="K69" i="76"/>
  <c r="H69" i="76"/>
  <c r="Q54" i="76"/>
  <c r="N54" i="76"/>
  <c r="Q53" i="76"/>
  <c r="N53" i="76"/>
  <c r="K54" i="76"/>
  <c r="H54" i="76"/>
  <c r="K53" i="76"/>
  <c r="H53" i="76"/>
  <c r="N72" i="78"/>
  <c r="N71" i="78"/>
  <c r="Q72" i="78"/>
  <c r="Q71" i="78"/>
  <c r="K71" i="78"/>
  <c r="H71" i="78"/>
  <c r="K72" i="78"/>
  <c r="H72" i="78"/>
  <c r="Q62" i="78"/>
  <c r="Q61" i="78"/>
  <c r="N62" i="78"/>
  <c r="N61" i="78"/>
  <c r="K62" i="78"/>
  <c r="H62" i="78"/>
  <c r="K61" i="78"/>
  <c r="H61" i="78"/>
  <c r="N8" i="78"/>
  <c r="N7" i="78"/>
  <c r="Q8" i="78"/>
  <c r="Q7" i="78"/>
  <c r="K7" i="78"/>
  <c r="H7" i="78"/>
  <c r="K8" i="78"/>
  <c r="H8" i="78"/>
  <c r="N76" i="78"/>
  <c r="N75" i="78"/>
  <c r="Q76" i="78"/>
  <c r="Q75" i="78"/>
  <c r="K75" i="78"/>
  <c r="H75" i="78"/>
  <c r="K76" i="78"/>
  <c r="H76" i="78"/>
  <c r="N44" i="78"/>
  <c r="N43" i="78"/>
  <c r="Q44" i="78"/>
  <c r="Q43" i="78"/>
  <c r="K43" i="78"/>
  <c r="H43" i="78"/>
  <c r="K44" i="78"/>
  <c r="H44" i="78"/>
  <c r="Q78" i="78"/>
  <c r="Q77" i="78"/>
  <c r="N78" i="78"/>
  <c r="N77" i="78"/>
  <c r="K78" i="78"/>
  <c r="H78" i="78"/>
  <c r="K77" i="78"/>
  <c r="H77" i="78"/>
  <c r="Q26" i="78"/>
  <c r="Q25" i="78"/>
  <c r="N26" i="78"/>
  <c r="P26" i="78" s="1"/>
  <c r="N25" i="78"/>
  <c r="K26" i="78"/>
  <c r="H26" i="78"/>
  <c r="K25" i="78"/>
  <c r="H25" i="78"/>
  <c r="N32" i="78"/>
  <c r="N31" i="78"/>
  <c r="Q32" i="78"/>
  <c r="Q31" i="78"/>
  <c r="K31" i="78"/>
  <c r="H31" i="78"/>
  <c r="K32" i="78"/>
  <c r="H32" i="78"/>
  <c r="N16" i="78"/>
  <c r="N15" i="78"/>
  <c r="Q16" i="78"/>
  <c r="Q15" i="78"/>
  <c r="K15" i="78"/>
  <c r="H15" i="78"/>
  <c r="K16" i="78"/>
  <c r="H16" i="78"/>
  <c r="Q58" i="78"/>
  <c r="Q57" i="78"/>
  <c r="N58" i="78"/>
  <c r="N57" i="78"/>
  <c r="K58" i="78"/>
  <c r="H58" i="78"/>
  <c r="K57" i="78"/>
  <c r="H57" i="78"/>
  <c r="Q42" i="78"/>
  <c r="Q41" i="78"/>
  <c r="N42" i="78"/>
  <c r="N41" i="78"/>
  <c r="K42" i="78"/>
  <c r="H42" i="78"/>
  <c r="K41" i="78"/>
  <c r="H41" i="78"/>
  <c r="N12" i="78"/>
  <c r="N11" i="78"/>
  <c r="Q12" i="78"/>
  <c r="Q11" i="78"/>
  <c r="K11" i="78"/>
  <c r="H11" i="78"/>
  <c r="K12" i="78"/>
  <c r="H12" i="78"/>
  <c r="Q10" i="78"/>
  <c r="Q9" i="78"/>
  <c r="N10" i="78"/>
  <c r="N9" i="78"/>
  <c r="K10" i="78"/>
  <c r="H10" i="78"/>
  <c r="K9" i="78"/>
  <c r="H9" i="78"/>
  <c r="N56" i="78"/>
  <c r="N55" i="78"/>
  <c r="Q56" i="78"/>
  <c r="Q55" i="78"/>
  <c r="K55" i="78"/>
  <c r="H55" i="78"/>
  <c r="K56" i="78"/>
  <c r="H56" i="78"/>
  <c r="N24" i="78"/>
  <c r="N23" i="78"/>
  <c r="Q24" i="78"/>
  <c r="Q23" i="78"/>
  <c r="K23" i="78"/>
  <c r="H23" i="78"/>
  <c r="K24" i="78"/>
  <c r="H24" i="78"/>
  <c r="Q38" i="78"/>
  <c r="Q37" i="78"/>
  <c r="N38" i="78"/>
  <c r="P38" i="78" s="1"/>
  <c r="N37" i="78"/>
  <c r="K38" i="78"/>
  <c r="H38" i="78"/>
  <c r="K37" i="78"/>
  <c r="M37" i="78" s="1"/>
  <c r="H37" i="78"/>
  <c r="Q18" i="78"/>
  <c r="Q17" i="78"/>
  <c r="N18" i="78"/>
  <c r="N17" i="78"/>
  <c r="K18" i="78"/>
  <c r="H18" i="78"/>
  <c r="K17" i="78"/>
  <c r="H17" i="78"/>
  <c r="N20" i="78"/>
  <c r="N19" i="78"/>
  <c r="Q20" i="78"/>
  <c r="Q19" i="78"/>
  <c r="K19" i="78"/>
  <c r="H19" i="78"/>
  <c r="K20" i="78"/>
  <c r="H20" i="78"/>
  <c r="Q54" i="78"/>
  <c r="Q53" i="78"/>
  <c r="N54" i="78"/>
  <c r="N53" i="78"/>
  <c r="K54" i="78"/>
  <c r="H54" i="78"/>
  <c r="K53" i="78"/>
  <c r="H53" i="78"/>
  <c r="Q34" i="78"/>
  <c r="Q33" i="78"/>
  <c r="N34" i="78"/>
  <c r="N33" i="78"/>
  <c r="K34" i="78"/>
  <c r="H34" i="78"/>
  <c r="K33" i="78"/>
  <c r="H33" i="78"/>
  <c r="N64" i="78"/>
  <c r="N63" i="78"/>
  <c r="Q64" i="78"/>
  <c r="S64" i="78" s="1"/>
  <c r="Q63" i="78"/>
  <c r="K63" i="78"/>
  <c r="H63" i="78"/>
  <c r="K64" i="78"/>
  <c r="M64" i="78" s="1"/>
  <c r="H64" i="78"/>
  <c r="Q50" i="78"/>
  <c r="Q49" i="78"/>
  <c r="N50" i="78"/>
  <c r="N49" i="78"/>
  <c r="K50" i="78"/>
  <c r="H50" i="78"/>
  <c r="K49" i="78"/>
  <c r="H49" i="78"/>
  <c r="N40" i="78"/>
  <c r="N39" i="78"/>
  <c r="Q40" i="78"/>
  <c r="S40" i="78" s="1"/>
  <c r="Q39" i="78"/>
  <c r="K39" i="78"/>
  <c r="H39" i="78"/>
  <c r="K40" i="78"/>
  <c r="H40" i="78"/>
  <c r="N68" i="78"/>
  <c r="N67" i="78"/>
  <c r="Q68" i="78"/>
  <c r="Q67" i="78"/>
  <c r="K67" i="78"/>
  <c r="H67" i="78"/>
  <c r="K68" i="78"/>
  <c r="H68" i="78"/>
  <c r="Q66" i="78"/>
  <c r="Q65" i="78"/>
  <c r="N66" i="78"/>
  <c r="N65" i="78"/>
  <c r="K66" i="78"/>
  <c r="H66" i="78"/>
  <c r="K65" i="78"/>
  <c r="H65" i="78"/>
  <c r="N28" i="78"/>
  <c r="N27" i="78"/>
  <c r="Q28" i="78"/>
  <c r="Q27" i="78"/>
  <c r="K27" i="78"/>
  <c r="H27" i="78"/>
  <c r="K28" i="78"/>
  <c r="H28" i="78"/>
  <c r="P33" i="77"/>
  <c r="M33" i="77"/>
  <c r="S33" i="77"/>
  <c r="J34" i="77"/>
  <c r="M34" i="77"/>
  <c r="P34" i="77"/>
  <c r="S34" i="77"/>
  <c r="J33" i="77"/>
  <c r="S26" i="78"/>
  <c r="S25" i="78"/>
  <c r="J26" i="78"/>
  <c r="M26" i="78"/>
  <c r="M25" i="78"/>
  <c r="J25" i="78"/>
  <c r="P25" i="78"/>
  <c r="J71" i="78"/>
  <c r="M72" i="78"/>
  <c r="P71" i="78"/>
  <c r="P72" i="78"/>
  <c r="S72" i="78"/>
  <c r="S71" i="78"/>
  <c r="J72" i="78"/>
  <c r="M71" i="78"/>
  <c r="S8" i="77"/>
  <c r="M7" i="77"/>
  <c r="J8" i="77"/>
  <c r="J7" i="77"/>
  <c r="P8" i="77"/>
  <c r="P7" i="77"/>
  <c r="M8" i="77"/>
  <c r="S7" i="77"/>
  <c r="J58" i="78"/>
  <c r="M58" i="78"/>
  <c r="M57" i="78"/>
  <c r="P58" i="78"/>
  <c r="S57" i="78"/>
  <c r="S58" i="78"/>
  <c r="J57" i="78"/>
  <c r="P57" i="78"/>
  <c r="M75" i="79"/>
  <c r="M76" i="79"/>
  <c r="J75" i="79"/>
  <c r="S76" i="79"/>
  <c r="P75" i="79"/>
  <c r="P76" i="79"/>
  <c r="J76" i="79"/>
  <c r="S75" i="79"/>
  <c r="J62" i="78"/>
  <c r="J61" i="78"/>
  <c r="P61" i="78"/>
  <c r="S62" i="78"/>
  <c r="M62" i="78"/>
  <c r="S61" i="78"/>
  <c r="M61" i="78"/>
  <c r="P62" i="78"/>
  <c r="M38" i="78"/>
  <c r="J38" i="78"/>
  <c r="S37" i="78"/>
  <c r="P37" i="78"/>
  <c r="J37" i="78"/>
  <c r="S38" i="78"/>
  <c r="P29" i="77"/>
  <c r="M29" i="77"/>
  <c r="P30" i="77"/>
  <c r="M30" i="77"/>
  <c r="S30" i="77"/>
  <c r="J29" i="77"/>
  <c r="S29" i="77"/>
  <c r="J30" i="77"/>
  <c r="S76" i="78"/>
  <c r="P76" i="78"/>
  <c r="M76" i="78"/>
  <c r="J76" i="78"/>
  <c r="S75" i="78"/>
  <c r="M75" i="78"/>
  <c r="J75" i="78"/>
  <c r="P75" i="78"/>
  <c r="S36" i="77"/>
  <c r="M35" i="77"/>
  <c r="S35" i="77"/>
  <c r="M36" i="77"/>
  <c r="J36" i="77"/>
  <c r="J35" i="77"/>
  <c r="P35" i="77"/>
  <c r="P36" i="77"/>
  <c r="J62" i="77"/>
  <c r="P61" i="77"/>
  <c r="P62" i="77"/>
  <c r="J61" i="77"/>
  <c r="S62" i="77"/>
  <c r="S61" i="77"/>
  <c r="M62" i="77"/>
  <c r="M61" i="77"/>
  <c r="M77" i="79"/>
  <c r="P77" i="79"/>
  <c r="J77" i="79"/>
  <c r="S78" i="79"/>
  <c r="M78" i="79"/>
  <c r="S77" i="79"/>
  <c r="P78" i="79"/>
  <c r="J78" i="79"/>
  <c r="M73" i="77"/>
  <c r="J73" i="77"/>
  <c r="P74" i="77"/>
  <c r="M74" i="77"/>
  <c r="J74" i="77"/>
  <c r="S74" i="77"/>
  <c r="S73" i="77"/>
  <c r="P73" i="77"/>
  <c r="S58" i="76"/>
  <c r="S57" i="76"/>
  <c r="M58" i="76"/>
  <c r="J57" i="76"/>
  <c r="M57" i="76"/>
  <c r="P58" i="76"/>
  <c r="J58" i="76"/>
  <c r="P12" i="78"/>
  <c r="S12" i="78"/>
  <c r="S11" i="78"/>
  <c r="J12" i="78"/>
  <c r="M12" i="78"/>
  <c r="P11" i="78"/>
  <c r="J11" i="78"/>
  <c r="M11" i="78"/>
  <c r="P50" i="76"/>
  <c r="S49" i="76"/>
  <c r="M50" i="76"/>
  <c r="P49" i="76"/>
  <c r="S50" i="76"/>
  <c r="J50" i="76"/>
  <c r="M49" i="76"/>
  <c r="J49" i="76"/>
  <c r="M17" i="79"/>
  <c r="J18" i="79"/>
  <c r="S18" i="79"/>
  <c r="J17" i="79"/>
  <c r="M18" i="79"/>
  <c r="P18" i="79"/>
  <c r="P17" i="79"/>
  <c r="S17" i="79"/>
  <c r="S60" i="76"/>
  <c r="J60" i="76"/>
  <c r="M60" i="76"/>
  <c r="P59" i="76"/>
  <c r="J59" i="76"/>
  <c r="S59" i="76"/>
  <c r="P60" i="76"/>
  <c r="M59" i="76"/>
  <c r="J12" i="76"/>
  <c r="P11" i="76"/>
  <c r="S12" i="76"/>
  <c r="M11" i="76"/>
  <c r="M12" i="76"/>
  <c r="S11" i="76"/>
  <c r="P12" i="76"/>
  <c r="J11" i="76"/>
  <c r="P27" i="76"/>
  <c r="J27" i="76"/>
  <c r="J28" i="76"/>
  <c r="S28" i="76"/>
  <c r="S27" i="76"/>
  <c r="M28" i="76"/>
  <c r="P28" i="76"/>
  <c r="J61" i="76"/>
  <c r="P61" i="76"/>
  <c r="M61" i="76"/>
  <c r="J62" i="76"/>
  <c r="S62" i="76"/>
  <c r="M62" i="76"/>
  <c r="P62" i="76"/>
  <c r="S61" i="76"/>
  <c r="P77" i="77"/>
  <c r="J78" i="77"/>
  <c r="M77" i="77"/>
  <c r="M78" i="77"/>
  <c r="P78" i="77"/>
  <c r="S77" i="77"/>
  <c r="S78" i="77"/>
  <c r="J77" i="77"/>
  <c r="P54" i="76"/>
  <c r="S54" i="76"/>
  <c r="J54" i="76"/>
  <c r="P53" i="76"/>
  <c r="M53" i="76"/>
  <c r="S53" i="76"/>
  <c r="J53" i="76"/>
  <c r="M54" i="76"/>
  <c r="J63" i="78"/>
  <c r="P63" i="78"/>
  <c r="J64" i="78"/>
  <c r="S63" i="78"/>
  <c r="M63" i="78"/>
  <c r="P64" i="78"/>
  <c r="P48" i="77"/>
  <c r="M48" i="77"/>
  <c r="J47" i="77"/>
  <c r="M47" i="77"/>
  <c r="S48" i="77"/>
  <c r="P47" i="77"/>
  <c r="S47" i="77"/>
  <c r="J48" i="77"/>
  <c r="M18" i="76"/>
  <c r="J18" i="76"/>
  <c r="S18" i="76"/>
  <c r="S17" i="76"/>
  <c r="M17" i="76"/>
  <c r="P17" i="76"/>
  <c r="P18" i="76"/>
  <c r="J17" i="76"/>
  <c r="M59" i="79"/>
  <c r="J59" i="79"/>
  <c r="M60" i="79"/>
  <c r="P59" i="79"/>
  <c r="S60" i="79"/>
  <c r="P60" i="79"/>
  <c r="S59" i="79"/>
  <c r="J60" i="79"/>
  <c r="M46" i="77"/>
  <c r="J46" i="77"/>
  <c r="S45" i="77"/>
  <c r="P45" i="77"/>
  <c r="M45" i="77"/>
  <c r="J45" i="77"/>
  <c r="P46" i="77"/>
  <c r="S46" i="77"/>
  <c r="M14" i="76"/>
  <c r="J14" i="76"/>
  <c r="S14" i="76"/>
  <c r="P13" i="76"/>
  <c r="J13" i="76"/>
  <c r="S13" i="76"/>
  <c r="P14" i="76"/>
  <c r="M13" i="76"/>
  <c r="J55" i="77"/>
  <c r="S56" i="77"/>
  <c r="P56" i="77"/>
  <c r="M56" i="77"/>
  <c r="J56" i="77"/>
  <c r="S55" i="77"/>
  <c r="P55" i="77"/>
  <c r="M55" i="77"/>
  <c r="S64" i="77"/>
  <c r="J63" i="77"/>
  <c r="S63" i="77"/>
  <c r="J64" i="77"/>
  <c r="M63" i="77"/>
  <c r="P63" i="77"/>
  <c r="P64" i="77"/>
  <c r="M64" i="77"/>
  <c r="M40" i="78"/>
  <c r="J39" i="78"/>
  <c r="P40" i="78"/>
  <c r="J40" i="78"/>
  <c r="M39" i="78"/>
  <c r="P39" i="78"/>
  <c r="S39" i="78"/>
  <c r="P10" i="76"/>
  <c r="M10" i="76"/>
  <c r="S10" i="76"/>
  <c r="J10" i="76"/>
  <c r="S9" i="76"/>
  <c r="P9" i="76"/>
  <c r="M9" i="76"/>
  <c r="J9" i="76"/>
  <c r="S52" i="77"/>
  <c r="M52" i="77"/>
  <c r="J51" i="77"/>
  <c r="P51" i="77"/>
  <c r="M51" i="77"/>
  <c r="J52" i="77"/>
  <c r="P52" i="77"/>
  <c r="S51" i="77"/>
  <c r="P12" i="77"/>
  <c r="M11" i="77"/>
  <c r="S12" i="77"/>
  <c r="J12" i="77"/>
  <c r="S11" i="77"/>
  <c r="J11" i="77"/>
  <c r="M12" i="77"/>
  <c r="P11" i="77"/>
  <c r="P38" i="76"/>
  <c r="S38" i="76"/>
  <c r="J38" i="76"/>
  <c r="J37" i="76"/>
  <c r="M38" i="76"/>
  <c r="P37" i="76"/>
  <c r="M37" i="76"/>
  <c r="S37" i="76"/>
  <c r="M13" i="79"/>
  <c r="J14" i="79"/>
  <c r="S14" i="79"/>
  <c r="J13" i="79"/>
  <c r="M14" i="79"/>
  <c r="P14" i="79"/>
  <c r="P13" i="79"/>
  <c r="S13" i="79"/>
  <c r="M22" i="76"/>
  <c r="M21" i="76"/>
  <c r="J22" i="76"/>
  <c r="P21" i="76"/>
  <c r="J21" i="76"/>
  <c r="S22" i="76"/>
  <c r="S21" i="76"/>
  <c r="P22" i="76"/>
  <c r="M55" i="79"/>
  <c r="P56" i="79"/>
  <c r="S56" i="79"/>
  <c r="J56" i="79"/>
  <c r="M56" i="79"/>
  <c r="P55" i="79"/>
  <c r="J55" i="79"/>
  <c r="S55" i="79"/>
  <c r="J64" i="76"/>
  <c r="M64" i="76"/>
  <c r="S63" i="76"/>
  <c r="S64" i="76"/>
  <c r="M63" i="76"/>
  <c r="P63" i="76"/>
  <c r="P64" i="76"/>
  <c r="J63" i="76"/>
  <c r="M15" i="76"/>
  <c r="J16" i="76"/>
  <c r="J15" i="76"/>
  <c r="S16" i="76"/>
  <c r="M16" i="76"/>
  <c r="P16" i="76"/>
  <c r="S15" i="76"/>
  <c r="P24" i="76"/>
  <c r="S23" i="76"/>
  <c r="J24" i="76"/>
  <c r="S24" i="76"/>
  <c r="M24" i="76"/>
  <c r="J23" i="76"/>
  <c r="M23" i="76"/>
  <c r="M9" i="79"/>
  <c r="J10" i="79"/>
  <c r="S10" i="79"/>
  <c r="J9" i="79"/>
  <c r="M10" i="79"/>
  <c r="P10" i="79"/>
  <c r="P9" i="79"/>
  <c r="S9" i="79"/>
  <c r="S18" i="77"/>
  <c r="P18" i="77"/>
  <c r="M18" i="77"/>
  <c r="J18" i="77"/>
  <c r="S17" i="77"/>
  <c r="P17" i="77"/>
  <c r="M17" i="77"/>
  <c r="J17" i="77"/>
  <c r="P76" i="77"/>
  <c r="S75" i="77"/>
  <c r="J76" i="77"/>
  <c r="M75" i="77"/>
  <c r="J75" i="77"/>
  <c r="P75" i="77"/>
  <c r="M76" i="77"/>
  <c r="S76" i="77"/>
  <c r="M61" i="79"/>
  <c r="J61" i="79"/>
  <c r="P61" i="79"/>
  <c r="S62" i="79"/>
  <c r="M62" i="79"/>
  <c r="P62" i="79"/>
  <c r="J62" i="79"/>
  <c r="S61" i="79"/>
  <c r="M69" i="79"/>
  <c r="J69" i="79"/>
  <c r="P69" i="79"/>
  <c r="S70" i="79"/>
  <c r="M70" i="79"/>
  <c r="P70" i="79"/>
  <c r="J70" i="79"/>
  <c r="S69" i="79"/>
  <c r="M25" i="79"/>
  <c r="J26" i="79"/>
  <c r="J25" i="79"/>
  <c r="M26" i="79"/>
  <c r="S26" i="79"/>
  <c r="P25" i="79"/>
  <c r="P26" i="79"/>
  <c r="S25" i="79"/>
  <c r="S56" i="76"/>
  <c r="P56" i="76"/>
  <c r="S55" i="76"/>
  <c r="M56" i="76"/>
  <c r="M55" i="76"/>
  <c r="P55" i="76"/>
  <c r="J56" i="76"/>
  <c r="J55" i="76"/>
  <c r="M63" i="79"/>
  <c r="M64" i="79"/>
  <c r="P63" i="79"/>
  <c r="S64" i="79"/>
  <c r="J63" i="79"/>
  <c r="P64" i="79"/>
  <c r="S63" i="79"/>
  <c r="J64" i="79"/>
  <c r="M71" i="79"/>
  <c r="M72" i="79"/>
  <c r="P71" i="79"/>
  <c r="S72" i="79"/>
  <c r="J71" i="79"/>
  <c r="P72" i="79"/>
  <c r="S71" i="79"/>
  <c r="J72" i="79"/>
  <c r="S8" i="76"/>
  <c r="P8" i="76"/>
  <c r="M8" i="76"/>
  <c r="J8" i="76"/>
  <c r="S7" i="76"/>
  <c r="P7" i="76"/>
  <c r="M7" i="76"/>
  <c r="J7" i="76"/>
  <c r="P9" i="78"/>
  <c r="S9" i="78"/>
  <c r="S10" i="78"/>
  <c r="M9" i="78"/>
  <c r="M10" i="78"/>
  <c r="P10" i="78"/>
  <c r="J10" i="78"/>
  <c r="J9" i="78"/>
  <c r="M57" i="79"/>
  <c r="J57" i="79"/>
  <c r="P57" i="79"/>
  <c r="S58" i="79"/>
  <c r="M58" i="79"/>
  <c r="S57" i="79"/>
  <c r="P58" i="79"/>
  <c r="J58" i="79"/>
  <c r="S68" i="76"/>
  <c r="M68" i="76"/>
  <c r="M67" i="76"/>
  <c r="P67" i="76"/>
  <c r="J68" i="76"/>
  <c r="J67" i="76"/>
  <c r="S67" i="76"/>
  <c r="P68" i="76"/>
  <c r="J76" i="76"/>
  <c r="S76" i="76"/>
  <c r="M76" i="76"/>
  <c r="P75" i="76"/>
  <c r="J75" i="76"/>
  <c r="S75" i="76"/>
  <c r="P76" i="76"/>
  <c r="M75" i="76"/>
  <c r="J46" i="79"/>
  <c r="M46" i="79"/>
  <c r="S45" i="79"/>
  <c r="M45" i="79"/>
  <c r="S46" i="79"/>
  <c r="P45" i="79"/>
  <c r="P46" i="79"/>
  <c r="J45" i="79"/>
  <c r="P21" i="77"/>
  <c r="S21" i="77"/>
  <c r="J22" i="77"/>
  <c r="J21" i="77"/>
  <c r="M22" i="77"/>
  <c r="M21" i="77"/>
  <c r="P22" i="77"/>
  <c r="S22" i="77"/>
  <c r="J56" i="78"/>
  <c r="S56" i="78"/>
  <c r="P56" i="78"/>
  <c r="J55" i="78"/>
  <c r="S55" i="78"/>
  <c r="M55" i="78"/>
  <c r="M56" i="78"/>
  <c r="P55" i="78"/>
  <c r="P32" i="78"/>
  <c r="M31" i="78"/>
  <c r="J31" i="78"/>
  <c r="S31" i="78"/>
  <c r="P31" i="78"/>
  <c r="M32" i="78"/>
  <c r="J32" i="78"/>
  <c r="S32" i="78"/>
  <c r="P40" i="77"/>
  <c r="S39" i="77"/>
  <c r="J39" i="77"/>
  <c r="M39" i="77"/>
  <c r="P39" i="77"/>
  <c r="M40" i="77"/>
  <c r="S40" i="77"/>
  <c r="J40" i="77"/>
  <c r="S15" i="78"/>
  <c r="P15" i="78"/>
  <c r="S16" i="78"/>
  <c r="M15" i="78"/>
  <c r="J15" i="78"/>
  <c r="P16" i="78"/>
  <c r="M16" i="78"/>
  <c r="J16" i="78"/>
  <c r="S10" i="77"/>
  <c r="P10" i="77"/>
  <c r="M10" i="77"/>
  <c r="J10" i="77"/>
  <c r="S9" i="77"/>
  <c r="P9" i="77"/>
  <c r="M9" i="77"/>
  <c r="J9" i="77"/>
  <c r="M11" i="79"/>
  <c r="J12" i="79"/>
  <c r="S12" i="79"/>
  <c r="J11" i="79"/>
  <c r="M12" i="79"/>
  <c r="P12" i="79"/>
  <c r="P11" i="79"/>
  <c r="S11" i="79"/>
  <c r="M65" i="76"/>
  <c r="M66" i="76"/>
  <c r="P66" i="76"/>
  <c r="J65" i="76"/>
  <c r="J66" i="76"/>
  <c r="S66" i="76"/>
  <c r="S65" i="76"/>
  <c r="J49" i="78"/>
  <c r="S50" i="78"/>
  <c r="M50" i="78"/>
  <c r="P50" i="78"/>
  <c r="J50" i="78"/>
  <c r="S49" i="78"/>
  <c r="P49" i="78"/>
  <c r="M49" i="78"/>
  <c r="S72" i="77"/>
  <c r="S71" i="77"/>
  <c r="P71" i="77"/>
  <c r="J71" i="77"/>
  <c r="J72" i="77"/>
  <c r="M72" i="77"/>
  <c r="M71" i="77"/>
  <c r="P72" i="77"/>
  <c r="S24" i="77"/>
  <c r="P23" i="77"/>
  <c r="S23" i="77"/>
  <c r="J23" i="77"/>
  <c r="P24" i="77"/>
  <c r="J24" i="77"/>
  <c r="M23" i="77"/>
  <c r="M24" i="77"/>
  <c r="P42" i="76"/>
  <c r="M41" i="76"/>
  <c r="P41" i="76"/>
  <c r="J42" i="76"/>
  <c r="S41" i="76"/>
  <c r="M42" i="76"/>
  <c r="S42" i="76"/>
  <c r="J41" i="76"/>
  <c r="J68" i="78"/>
  <c r="M67" i="78"/>
  <c r="J67" i="78"/>
  <c r="S68" i="78"/>
  <c r="S67" i="78"/>
  <c r="M68" i="78"/>
  <c r="P68" i="78"/>
  <c r="P67" i="78"/>
  <c r="P28" i="77"/>
  <c r="J28" i="77"/>
  <c r="J27" i="77"/>
  <c r="M27" i="77"/>
  <c r="M28" i="77"/>
  <c r="P27" i="77"/>
  <c r="S27" i="77"/>
  <c r="S28" i="77"/>
  <c r="M66" i="78"/>
  <c r="S65" i="78"/>
  <c r="J66" i="78"/>
  <c r="P65" i="78"/>
  <c r="M65" i="78"/>
  <c r="J65" i="78"/>
  <c r="S66" i="78"/>
  <c r="P66" i="78"/>
  <c r="S54" i="77"/>
  <c r="P54" i="77"/>
  <c r="M54" i="77"/>
  <c r="J54" i="77"/>
  <c r="S53" i="77"/>
  <c r="P53" i="77"/>
  <c r="M53" i="77"/>
  <c r="J53" i="77"/>
  <c r="M26" i="76"/>
  <c r="J26" i="76"/>
  <c r="S26" i="76"/>
  <c r="P25" i="76"/>
  <c r="P26" i="76"/>
  <c r="J25" i="76"/>
  <c r="S25" i="76"/>
  <c r="M25" i="76"/>
  <c r="S47" i="76"/>
  <c r="P47" i="76"/>
  <c r="M47" i="76"/>
  <c r="J47" i="76"/>
  <c r="P48" i="76"/>
  <c r="S48" i="76"/>
  <c r="J48" i="76"/>
  <c r="M48" i="76"/>
  <c r="P15" i="76"/>
  <c r="P23" i="76"/>
  <c r="P42" i="78"/>
  <c r="M41" i="78"/>
  <c r="J41" i="78"/>
  <c r="J42" i="78"/>
  <c r="P41" i="78"/>
  <c r="M42" i="78"/>
  <c r="S41" i="78"/>
  <c r="S42" i="78"/>
  <c r="P20" i="78"/>
  <c r="M19" i="78"/>
  <c r="S20" i="78"/>
  <c r="J19" i="78"/>
  <c r="S19" i="78"/>
  <c r="P19" i="78"/>
  <c r="J20" i="78"/>
  <c r="M20" i="78"/>
  <c r="M21" i="79"/>
  <c r="J22" i="79"/>
  <c r="J21" i="79"/>
  <c r="M22" i="79"/>
  <c r="S22" i="79"/>
  <c r="P21" i="79"/>
  <c r="P22" i="79"/>
  <c r="S21" i="79"/>
  <c r="S30" i="76"/>
  <c r="P30" i="76"/>
  <c r="P29" i="76"/>
  <c r="M29" i="76"/>
  <c r="M30" i="76"/>
  <c r="J30" i="76"/>
  <c r="S29" i="76"/>
  <c r="J29" i="76"/>
  <c r="P34" i="78"/>
  <c r="M33" i="78"/>
  <c r="M34" i="78"/>
  <c r="P33" i="78"/>
  <c r="S33" i="78"/>
  <c r="S34" i="78"/>
  <c r="J33" i="78"/>
  <c r="J34" i="78"/>
  <c r="M31" i="79"/>
  <c r="J31" i="79"/>
  <c r="J32" i="79"/>
  <c r="P31" i="79"/>
  <c r="P32" i="79"/>
  <c r="S32" i="79"/>
  <c r="M32" i="79"/>
  <c r="S31" i="79"/>
  <c r="M23" i="79"/>
  <c r="P23" i="79"/>
  <c r="P24" i="79"/>
  <c r="S24" i="79"/>
  <c r="J23" i="79"/>
  <c r="M24" i="79"/>
  <c r="J24" i="79"/>
  <c r="S23" i="79"/>
  <c r="J74" i="76"/>
  <c r="M73" i="76"/>
  <c r="S74" i="76"/>
  <c r="S73" i="76"/>
  <c r="J73" i="76"/>
  <c r="M74" i="76"/>
  <c r="P74" i="76"/>
  <c r="M52" i="76"/>
  <c r="J52" i="76"/>
  <c r="P51" i="76"/>
  <c r="S51" i="76"/>
  <c r="J51" i="76"/>
  <c r="M51" i="76"/>
  <c r="S52" i="76"/>
  <c r="P52" i="76"/>
  <c r="J69" i="76"/>
  <c r="P69" i="76"/>
  <c r="P70" i="76"/>
  <c r="S69" i="76"/>
  <c r="J70" i="76"/>
  <c r="M69" i="76"/>
  <c r="S70" i="76"/>
  <c r="M70" i="76"/>
  <c r="S23" i="78"/>
  <c r="P23" i="78"/>
  <c r="M23" i="78"/>
  <c r="J23" i="78"/>
  <c r="S24" i="78"/>
  <c r="P24" i="78"/>
  <c r="M24" i="78"/>
  <c r="J24" i="78"/>
  <c r="M73" i="79"/>
  <c r="J73" i="79"/>
  <c r="S74" i="79"/>
  <c r="P73" i="79"/>
  <c r="M74" i="79"/>
  <c r="S73" i="79"/>
  <c r="P74" i="79"/>
  <c r="J74" i="79"/>
  <c r="M27" i="79"/>
  <c r="P27" i="79"/>
  <c r="P28" i="79"/>
  <c r="S28" i="79"/>
  <c r="J27" i="79"/>
  <c r="M28" i="79"/>
  <c r="J28" i="79"/>
  <c r="S27" i="79"/>
  <c r="P65" i="76"/>
  <c r="J77" i="76"/>
  <c r="P77" i="76"/>
  <c r="M77" i="76"/>
  <c r="M78" i="76"/>
  <c r="P78" i="76"/>
  <c r="J78" i="76"/>
  <c r="S77" i="76"/>
  <c r="S78" i="76"/>
  <c r="P33" i="76"/>
  <c r="M34" i="76"/>
  <c r="J33" i="76"/>
  <c r="P34" i="76"/>
  <c r="S33" i="76"/>
  <c r="S34" i="76"/>
  <c r="J34" i="76"/>
  <c r="M33" i="76"/>
  <c r="P32" i="77"/>
  <c r="J31" i="77"/>
  <c r="P31" i="77"/>
  <c r="S31" i="77"/>
  <c r="M32" i="77"/>
  <c r="J32" i="77"/>
  <c r="M31" i="77"/>
  <c r="S32" i="77"/>
  <c r="P7" i="78"/>
  <c r="P8" i="78"/>
  <c r="J7" i="78"/>
  <c r="M8" i="78"/>
  <c r="J8" i="78"/>
  <c r="S7" i="78"/>
  <c r="S8" i="78"/>
  <c r="M7" i="78"/>
  <c r="S16" i="77"/>
  <c r="J16" i="77"/>
  <c r="J15" i="77"/>
  <c r="M16" i="77"/>
  <c r="P15" i="77"/>
  <c r="P16" i="77"/>
  <c r="M15" i="77"/>
  <c r="S15" i="77"/>
  <c r="M58" i="77"/>
  <c r="S57" i="77"/>
  <c r="S58" i="77"/>
  <c r="M57" i="77"/>
  <c r="P57" i="77"/>
  <c r="P58" i="77"/>
  <c r="J58" i="77"/>
  <c r="J57" i="77"/>
  <c r="P18" i="78"/>
  <c r="S18" i="78"/>
  <c r="J18" i="78"/>
  <c r="M18" i="78"/>
  <c r="P17" i="78"/>
  <c r="M17" i="78"/>
  <c r="J17" i="78"/>
  <c r="S17" i="78"/>
  <c r="P69" i="77"/>
  <c r="J70" i="77"/>
  <c r="S69" i="77"/>
  <c r="P70" i="77"/>
  <c r="M70" i="77"/>
  <c r="J69" i="77"/>
  <c r="S70" i="77"/>
  <c r="M69" i="77"/>
  <c r="M72" i="76"/>
  <c r="P71" i="76"/>
  <c r="P72" i="76"/>
  <c r="S72" i="76"/>
  <c r="J71" i="76"/>
  <c r="J72" i="76"/>
  <c r="S71" i="76"/>
  <c r="M71" i="76"/>
  <c r="P31" i="76"/>
  <c r="S31" i="76"/>
  <c r="J31" i="76"/>
  <c r="M31" i="76"/>
  <c r="P32" i="76"/>
  <c r="S32" i="76"/>
  <c r="J32" i="76"/>
  <c r="M32" i="76"/>
  <c r="S39" i="76"/>
  <c r="P39" i="76"/>
  <c r="M39" i="76"/>
  <c r="J39" i="76"/>
  <c r="P40" i="76"/>
  <c r="S40" i="76"/>
  <c r="J40" i="76"/>
  <c r="M40" i="76"/>
  <c r="P60" i="77"/>
  <c r="P59" i="77"/>
  <c r="S59" i="77"/>
  <c r="M59" i="77"/>
  <c r="J60" i="77"/>
  <c r="J59" i="77"/>
  <c r="M60" i="77"/>
  <c r="S60" i="77"/>
  <c r="P44" i="78"/>
  <c r="J43" i="78"/>
  <c r="P43" i="78"/>
  <c r="J44" i="78"/>
  <c r="S44" i="78"/>
  <c r="M44" i="78"/>
  <c r="S43" i="78"/>
  <c r="M43" i="78"/>
  <c r="P28" i="78"/>
  <c r="S27" i="78"/>
  <c r="J27" i="78"/>
  <c r="M28" i="78"/>
  <c r="P27" i="78"/>
  <c r="J28" i="78"/>
  <c r="M27" i="78"/>
  <c r="S28" i="78"/>
  <c r="M65" i="79"/>
  <c r="J65" i="79"/>
  <c r="P65" i="79"/>
  <c r="S66" i="79"/>
  <c r="M66" i="79"/>
  <c r="S65" i="79"/>
  <c r="P66" i="79"/>
  <c r="J66" i="79"/>
  <c r="S77" i="78"/>
  <c r="P77" i="78"/>
  <c r="M77" i="78"/>
  <c r="J77" i="78"/>
  <c r="P78" i="78"/>
  <c r="S78" i="78"/>
  <c r="J78" i="78"/>
  <c r="M78" i="78"/>
  <c r="P46" i="76"/>
  <c r="S46" i="76"/>
  <c r="J46" i="76"/>
  <c r="J45" i="76"/>
  <c r="S45" i="76"/>
  <c r="P45" i="76"/>
  <c r="M46" i="76"/>
  <c r="M45" i="76"/>
  <c r="J54" i="78"/>
  <c r="M53" i="78"/>
  <c r="J53" i="78"/>
  <c r="S54" i="78"/>
  <c r="S53" i="78"/>
  <c r="M54" i="78"/>
  <c r="P54" i="78"/>
  <c r="P53" i="78"/>
  <c r="S14" i="77"/>
  <c r="P14" i="77"/>
  <c r="J14" i="77"/>
  <c r="M13" i="77"/>
  <c r="M14" i="77"/>
  <c r="P13" i="77"/>
  <c r="J13" i="77"/>
  <c r="S13" i="77"/>
  <c r="M15" i="79"/>
  <c r="J16" i="79"/>
  <c r="S16" i="79"/>
  <c r="J15" i="79"/>
  <c r="M16" i="79"/>
  <c r="P16" i="79"/>
  <c r="P15" i="79"/>
  <c r="S15" i="79"/>
  <c r="P73" i="76"/>
  <c r="P41" i="77"/>
  <c r="P42" i="77"/>
  <c r="M41" i="77"/>
  <c r="J41" i="77"/>
  <c r="S41" i="77"/>
  <c r="J42" i="77"/>
  <c r="M42" i="77"/>
  <c r="S42" i="77"/>
  <c r="M44" i="76"/>
  <c r="J44" i="76"/>
  <c r="P43" i="76"/>
  <c r="S43" i="76"/>
  <c r="J43" i="76"/>
  <c r="M43" i="76"/>
  <c r="S44" i="76"/>
  <c r="P44" i="76"/>
  <c r="M19" i="76"/>
  <c r="P19" i="76"/>
  <c r="J19" i="76"/>
  <c r="M20" i="76"/>
  <c r="P20" i="76"/>
  <c r="J20" i="76"/>
  <c r="S20" i="76"/>
  <c r="S19" i="76"/>
  <c r="S66" i="77"/>
  <c r="S65" i="77"/>
  <c r="P65" i="77"/>
  <c r="M66" i="77"/>
  <c r="M65" i="77"/>
  <c r="J65" i="77"/>
  <c r="P66" i="77"/>
  <c r="J66" i="77"/>
  <c r="S50" i="77"/>
  <c r="P49" i="77"/>
  <c r="S49" i="77"/>
  <c r="M50" i="77"/>
  <c r="P50" i="77"/>
  <c r="J49" i="77"/>
  <c r="M49" i="77"/>
  <c r="J50" i="77"/>
  <c r="M38" i="77"/>
  <c r="M37" i="77"/>
  <c r="J37" i="77"/>
  <c r="P38" i="77"/>
  <c r="S38" i="77"/>
  <c r="J38" i="77"/>
  <c r="S37" i="77"/>
  <c r="P37" i="77"/>
  <c r="M29" i="79"/>
  <c r="S30" i="79"/>
  <c r="J30" i="79"/>
  <c r="P29" i="79"/>
  <c r="P30" i="79"/>
  <c r="M30" i="79"/>
  <c r="J29" i="79"/>
  <c r="S29" i="79"/>
  <c r="W55" i="4"/>
  <c r="W31" i="4"/>
  <c r="K55" i="4"/>
  <c r="K31" i="4"/>
  <c r="M59" i="9"/>
  <c r="V61" i="8"/>
  <c r="P59" i="9"/>
  <c r="J39" i="8"/>
  <c r="M39" i="8"/>
  <c r="P39" i="8"/>
  <c r="S39" i="8"/>
  <c r="P73" i="8"/>
  <c r="V39" i="8"/>
  <c r="J51" i="8"/>
  <c r="M51" i="8"/>
  <c r="J73" i="8"/>
  <c r="M73" i="8"/>
  <c r="P55" i="9"/>
  <c r="J55" i="9"/>
  <c r="V55" i="9"/>
  <c r="M55" i="9"/>
  <c r="P31" i="8"/>
  <c r="S31" i="8"/>
  <c r="P65" i="8"/>
  <c r="J31" i="8"/>
  <c r="M31" i="8"/>
  <c r="V63" i="9"/>
  <c r="V51" i="8"/>
  <c r="M63" i="9"/>
  <c r="P51" i="8"/>
  <c r="S51" i="8"/>
  <c r="M65" i="8"/>
  <c r="V31" i="8"/>
  <c r="M61" i="9"/>
  <c r="P69" i="8"/>
  <c r="J69" i="8"/>
  <c r="P61" i="9"/>
  <c r="P63" i="9"/>
  <c r="J75" i="9"/>
  <c r="V69" i="8"/>
  <c r="P75" i="9"/>
  <c r="M69" i="8"/>
  <c r="J63" i="9"/>
  <c r="V65" i="8"/>
  <c r="P47" i="8"/>
  <c r="S47" i="8"/>
  <c r="S63" i="9"/>
  <c r="M61" i="8"/>
  <c r="P57" i="8"/>
  <c r="S65" i="8"/>
  <c r="J65" i="8"/>
  <c r="S61" i="8"/>
  <c r="P61" i="8"/>
  <c r="M57" i="8"/>
  <c r="J61" i="8"/>
  <c r="J47" i="8"/>
  <c r="M47" i="8"/>
  <c r="J61" i="9"/>
  <c r="S75" i="9"/>
  <c r="V57" i="8"/>
  <c r="V47" i="8"/>
  <c r="S61" i="9"/>
  <c r="V61" i="9"/>
  <c r="M75" i="9"/>
  <c r="V75" i="9"/>
  <c r="W79" i="5"/>
  <c r="Y79" i="5" s="1"/>
  <c r="W103" i="5"/>
  <c r="Y103" i="5" s="1"/>
  <c r="W31" i="5"/>
  <c r="Y31" i="5" s="1"/>
  <c r="W31" i="6"/>
  <c r="Y31" i="6" s="1"/>
  <c r="W55" i="6"/>
  <c r="Y55" i="6" s="1"/>
  <c r="W7" i="5"/>
  <c r="Y7" i="5" s="1"/>
  <c r="W7" i="6"/>
  <c r="Y7" i="6" s="1"/>
  <c r="W55" i="5"/>
  <c r="Y55" i="5" s="1"/>
  <c r="S57" i="8"/>
  <c r="J57" i="8"/>
  <c r="T31" i="76" l="1"/>
  <c r="V31" i="76" s="1"/>
  <c r="T7" i="78"/>
  <c r="V7" i="78" s="1"/>
  <c r="T55" i="78"/>
  <c r="V55" i="78" s="1"/>
  <c r="T7" i="76"/>
  <c r="V7" i="76" s="1"/>
  <c r="T31" i="78"/>
  <c r="V31" i="78" s="1"/>
  <c r="T55" i="76"/>
  <c r="V55" i="76" s="1"/>
  <c r="O127" i="4"/>
  <c r="G9" i="42" s="1"/>
  <c r="C79" i="4"/>
  <c r="F9" i="42" s="1"/>
  <c r="Z7" i="5"/>
  <c r="Z7" i="6"/>
  <c r="W7" i="78" l="1"/>
  <c r="W7" i="76"/>
  <c r="H9" i="42"/>
  <c r="K19" i="2" l="1"/>
  <c r="K18" i="2"/>
  <c r="E19" i="77" l="1"/>
  <c r="E19" i="79"/>
  <c r="E20" i="77"/>
  <c r="E20" i="79"/>
  <c r="E19" i="9"/>
  <c r="E19" i="8"/>
  <c r="E20" i="8"/>
  <c r="E20" i="9"/>
  <c r="M20" i="79" l="1"/>
  <c r="S20" i="79"/>
  <c r="P20" i="79"/>
  <c r="J20" i="79"/>
  <c r="M20" i="77"/>
  <c r="S20" i="77"/>
  <c r="J20" i="77"/>
  <c r="P20" i="77"/>
  <c r="P19" i="79"/>
  <c r="S19" i="79"/>
  <c r="M19" i="79"/>
  <c r="J19" i="79"/>
  <c r="M19" i="77"/>
  <c r="S19" i="77"/>
  <c r="P19" i="77"/>
  <c r="J19" i="77"/>
  <c r="K46" i="2"/>
  <c r="K45" i="2"/>
  <c r="T7" i="77" l="1"/>
  <c r="V7" i="77" s="1"/>
  <c r="T7" i="79"/>
  <c r="V7" i="79" s="1"/>
  <c r="E43" i="9"/>
  <c r="S43" i="9" s="1"/>
  <c r="E43" i="77"/>
  <c r="E43" i="79"/>
  <c r="E44" i="8"/>
  <c r="J44" i="8" s="1"/>
  <c r="E44" i="77"/>
  <c r="E44" i="79"/>
  <c r="E43" i="8"/>
  <c r="E44" i="9"/>
  <c r="V43" i="9" l="1"/>
  <c r="J43" i="9"/>
  <c r="M43" i="9"/>
  <c r="P43" i="9"/>
  <c r="S44" i="8"/>
  <c r="M44" i="8"/>
  <c r="V44" i="8"/>
  <c r="P44" i="8"/>
  <c r="M43" i="79"/>
  <c r="S43" i="79"/>
  <c r="P43" i="79"/>
  <c r="J43" i="79"/>
  <c r="M44" i="79"/>
  <c r="S44" i="79"/>
  <c r="J44" i="79"/>
  <c r="P44" i="79"/>
  <c r="S43" i="77"/>
  <c r="J43" i="77"/>
  <c r="M43" i="77"/>
  <c r="P43" i="77"/>
  <c r="S44" i="77"/>
  <c r="J44" i="77"/>
  <c r="M44" i="77"/>
  <c r="P44" i="77"/>
  <c r="M44" i="9"/>
  <c r="J44" i="9"/>
  <c r="V44" i="9"/>
  <c r="S44" i="9"/>
  <c r="P44" i="9"/>
  <c r="P43" i="8"/>
  <c r="J43" i="8"/>
  <c r="V43" i="8"/>
  <c r="S43" i="8"/>
  <c r="M43" i="8"/>
  <c r="V20" i="9"/>
  <c r="K73" i="2"/>
  <c r="S20" i="9"/>
  <c r="W46" i="2"/>
  <c r="W45" i="2"/>
  <c r="W19" i="2"/>
  <c r="W18" i="2"/>
  <c r="K72" i="2"/>
  <c r="W31" i="9" l="1"/>
  <c r="Y31" i="9" s="1"/>
  <c r="T31" i="77"/>
  <c r="V31" i="77" s="1"/>
  <c r="E91" i="8"/>
  <c r="J91" i="8" s="1"/>
  <c r="E91" i="79"/>
  <c r="E115" i="8"/>
  <c r="J115" i="8" s="1"/>
  <c r="E115" i="79"/>
  <c r="T31" i="79"/>
  <c r="V31" i="79" s="1"/>
  <c r="E67" i="77"/>
  <c r="E67" i="79"/>
  <c r="E116" i="8"/>
  <c r="J116" i="8" s="1"/>
  <c r="E116" i="79"/>
  <c r="E92" i="8"/>
  <c r="M92" i="8" s="1"/>
  <c r="E92" i="79"/>
  <c r="E68" i="77"/>
  <c r="E68" i="79"/>
  <c r="J20" i="8"/>
  <c r="E68" i="8"/>
  <c r="E68" i="9"/>
  <c r="E67" i="9"/>
  <c r="E67" i="8"/>
  <c r="W31" i="8"/>
  <c r="Y31" i="8" s="1"/>
  <c r="J20" i="9"/>
  <c r="M91" i="8"/>
  <c r="P92" i="8"/>
  <c r="P19" i="9"/>
  <c r="V19" i="9"/>
  <c r="S19" i="9"/>
  <c r="M19" i="9"/>
  <c r="J19" i="9"/>
  <c r="M20" i="8"/>
  <c r="P20" i="8"/>
  <c r="M20" i="9"/>
  <c r="V20" i="8"/>
  <c r="S20" i="8"/>
  <c r="P20" i="9"/>
  <c r="S115" i="8" l="1"/>
  <c r="S116" i="8"/>
  <c r="V116" i="8"/>
  <c r="V115" i="8"/>
  <c r="P115" i="8"/>
  <c r="M115" i="8"/>
  <c r="M116" i="8"/>
  <c r="P116" i="8"/>
  <c r="S91" i="8"/>
  <c r="V91" i="8"/>
  <c r="P91" i="8"/>
  <c r="S92" i="8"/>
  <c r="P68" i="77"/>
  <c r="J68" i="77"/>
  <c r="S68" i="77"/>
  <c r="M68" i="77"/>
  <c r="J115" i="79"/>
  <c r="S115" i="79"/>
  <c r="P115" i="79"/>
  <c r="M115" i="79"/>
  <c r="V92" i="8"/>
  <c r="J92" i="8"/>
  <c r="S92" i="79"/>
  <c r="P92" i="79"/>
  <c r="J92" i="79"/>
  <c r="M92" i="79"/>
  <c r="J67" i="79"/>
  <c r="S67" i="79"/>
  <c r="M67" i="79"/>
  <c r="P67" i="79"/>
  <c r="P91" i="79"/>
  <c r="M91" i="79"/>
  <c r="J91" i="79"/>
  <c r="S91" i="79"/>
  <c r="S67" i="77"/>
  <c r="J67" i="77"/>
  <c r="M67" i="77"/>
  <c r="P67" i="77"/>
  <c r="M68" i="79"/>
  <c r="J68" i="79"/>
  <c r="P68" i="79"/>
  <c r="S68" i="79"/>
  <c r="M116" i="79"/>
  <c r="S116" i="79"/>
  <c r="P116" i="79"/>
  <c r="J116" i="79"/>
  <c r="S67" i="8"/>
  <c r="V67" i="8"/>
  <c r="J67" i="8"/>
  <c r="M67" i="8"/>
  <c r="P67" i="8"/>
  <c r="M67" i="9"/>
  <c r="P67" i="9"/>
  <c r="J67" i="9"/>
  <c r="S67" i="9"/>
  <c r="V67" i="9"/>
  <c r="P68" i="9"/>
  <c r="J68" i="9"/>
  <c r="V68" i="9"/>
  <c r="S68" i="9"/>
  <c r="M68" i="9"/>
  <c r="P68" i="8"/>
  <c r="S68" i="8"/>
  <c r="M68" i="8"/>
  <c r="J68" i="8"/>
  <c r="V68" i="8"/>
  <c r="W7" i="9"/>
  <c r="Y7" i="9" s="1"/>
  <c r="P19" i="8"/>
  <c r="S19" i="8"/>
  <c r="V19" i="8"/>
  <c r="M19" i="8"/>
  <c r="J19" i="8"/>
  <c r="W103" i="8" l="1"/>
  <c r="Y103" i="8" s="1"/>
  <c r="T79" i="79"/>
  <c r="V79" i="79" s="1"/>
  <c r="W79" i="8"/>
  <c r="Y79" i="8" s="1"/>
  <c r="T55" i="79"/>
  <c r="V55" i="79" s="1"/>
  <c r="T103" i="79"/>
  <c r="V103" i="79" s="1"/>
  <c r="T55" i="77"/>
  <c r="V55" i="77" s="1"/>
  <c r="W55" i="9"/>
  <c r="Y55" i="9" s="1"/>
  <c r="Z7" i="9" s="1"/>
  <c r="F10" i="42" s="1"/>
  <c r="W55" i="8"/>
  <c r="Y55" i="8" s="1"/>
  <c r="W7" i="8"/>
  <c r="Y7" i="8" s="1"/>
  <c r="W7" i="77" l="1"/>
  <c r="F21" i="42" s="1"/>
  <c r="F30" i="42" s="1"/>
  <c r="F31" i="42" s="1"/>
  <c r="W7" i="79"/>
  <c r="G21" i="42" s="1"/>
  <c r="Z7" i="8"/>
  <c r="G10" i="42" s="1"/>
  <c r="H21" i="42" l="1"/>
  <c r="G30" i="42"/>
  <c r="G31" i="42" s="1"/>
  <c r="H31" i="42" s="1"/>
  <c r="H10" i="42"/>
  <c r="H30" i="42" l="1"/>
</calcChain>
</file>

<file path=xl/comments1.xml><?xml version="1.0" encoding="utf-8"?>
<comments xmlns="http://schemas.openxmlformats.org/spreadsheetml/2006/main">
  <authors>
    <author>土屋 弥生</author>
  </authors>
  <commentList>
    <comment ref="F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表3-9</t>
        </r>
      </text>
    </comment>
    <comment ref="G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表4-12</t>
        </r>
      </text>
    </comment>
    <comment ref="F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表3-10</t>
        </r>
      </text>
    </comment>
    <comment ref="G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表4-14</t>
        </r>
      </text>
    </comment>
    <comment ref="F1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表3-14</t>
        </r>
      </text>
    </comment>
    <comment ref="G1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表4-20</t>
        </r>
      </text>
    </comment>
    <comment ref="F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表3-15</t>
        </r>
      </text>
    </comment>
    <comment ref="G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表4-21</t>
        </r>
      </text>
    </comment>
    <comment ref="F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表3-19</t>
        </r>
      </text>
    </comment>
    <comment ref="G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表4-25</t>
        </r>
      </text>
    </comment>
    <comment ref="F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表3-12</t>
        </r>
      </text>
    </comment>
    <comment ref="G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表4-18</t>
        </r>
      </text>
    </comment>
    <comment ref="F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表3-13</t>
        </r>
      </text>
    </comment>
    <comment ref="G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表4-19</t>
        </r>
      </text>
    </comment>
    <comment ref="F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表3-17</t>
        </r>
      </text>
    </comment>
    <comment ref="G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表4-23</t>
        </r>
      </text>
    </comment>
    <comment ref="F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表3-21</t>
        </r>
      </text>
    </comment>
    <comment ref="G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表4-27</t>
        </r>
      </text>
    </comment>
  </commentList>
</comments>
</file>

<file path=xl/sharedStrings.xml><?xml version="1.0" encoding="utf-8"?>
<sst xmlns="http://schemas.openxmlformats.org/spreadsheetml/2006/main" count="3981" uniqueCount="991">
  <si>
    <t>１．道路の状況</t>
    <rPh sb="2" eb="4">
      <t>ドウロ</t>
    </rPh>
    <rPh sb="5" eb="7">
      <t>ジョウキョウ</t>
    </rPh>
    <phoneticPr fontId="3"/>
  </si>
  <si>
    <t>（１）</t>
    <phoneticPr fontId="3"/>
  </si>
  <si>
    <t>（２）</t>
  </si>
  <si>
    <t>（３）</t>
  </si>
  <si>
    <t>（４）</t>
  </si>
  <si>
    <t>車線数</t>
    <rPh sb="0" eb="3">
      <t>シャセンスウ</t>
    </rPh>
    <phoneticPr fontId="3"/>
  </si>
  <si>
    <t>幅員</t>
    <rPh sb="0" eb="2">
      <t>フクイン</t>
    </rPh>
    <phoneticPr fontId="3"/>
  </si>
  <si>
    <t>交差点数</t>
    <rPh sb="0" eb="3">
      <t>コウサテン</t>
    </rPh>
    <rPh sb="3" eb="4">
      <t>スウ</t>
    </rPh>
    <phoneticPr fontId="3"/>
  </si>
  <si>
    <t>車線</t>
    <rPh sb="0" eb="2">
      <t>シャセン</t>
    </rPh>
    <phoneticPr fontId="3"/>
  </si>
  <si>
    <t>箇所</t>
    <rPh sb="0" eb="2">
      <t>カショ</t>
    </rPh>
    <phoneticPr fontId="3"/>
  </si>
  <si>
    <t>２．交通の状況</t>
    <rPh sb="2" eb="4">
      <t>コウツウ</t>
    </rPh>
    <rPh sb="5" eb="7">
      <t>ジョウキョウ</t>
    </rPh>
    <phoneticPr fontId="3"/>
  </si>
  <si>
    <t>走行速度</t>
    <rPh sb="0" eb="2">
      <t>ソウコウ</t>
    </rPh>
    <rPh sb="2" eb="4">
      <t>ソクド</t>
    </rPh>
    <phoneticPr fontId="3"/>
  </si>
  <si>
    <t>（５）</t>
  </si>
  <si>
    <t>交通量</t>
    <rPh sb="0" eb="2">
      <t>コウツウ</t>
    </rPh>
    <rPh sb="2" eb="3">
      <t>リョウ</t>
    </rPh>
    <phoneticPr fontId="3"/>
  </si>
  <si>
    <t>大型車混入率</t>
    <rPh sb="0" eb="3">
      <t>オオガタシャ</t>
    </rPh>
    <rPh sb="3" eb="5">
      <t>コンニュウ</t>
    </rPh>
    <rPh sb="5" eb="6">
      <t>リツ</t>
    </rPh>
    <phoneticPr fontId="3"/>
  </si>
  <si>
    <t>右折率</t>
    <rPh sb="0" eb="2">
      <t>ウセツ</t>
    </rPh>
    <rPh sb="2" eb="3">
      <t>リツ</t>
    </rPh>
    <phoneticPr fontId="3"/>
  </si>
  <si>
    <t>左折率</t>
    <rPh sb="0" eb="2">
      <t>サセツ</t>
    </rPh>
    <rPh sb="2" eb="3">
      <t>リツ</t>
    </rPh>
    <phoneticPr fontId="3"/>
  </si>
  <si>
    <t>㎞/時</t>
    <rPh sb="2" eb="3">
      <t>ジ</t>
    </rPh>
    <phoneticPr fontId="3"/>
  </si>
  <si>
    <t>３．交通信号の状況</t>
    <rPh sb="2" eb="4">
      <t>コウツウ</t>
    </rPh>
    <rPh sb="4" eb="6">
      <t>シンゴウ</t>
    </rPh>
    <rPh sb="7" eb="9">
      <t>ジョウキョウ</t>
    </rPh>
    <phoneticPr fontId="3"/>
  </si>
  <si>
    <t>サイクル[青]</t>
    <rPh sb="5" eb="6">
      <t>アオ</t>
    </rPh>
    <phoneticPr fontId="3"/>
  </si>
  <si>
    <t>サイクル[黄]</t>
    <rPh sb="5" eb="6">
      <t>キ</t>
    </rPh>
    <phoneticPr fontId="3"/>
  </si>
  <si>
    <t>サイクル[全赤]</t>
    <rPh sb="5" eb="6">
      <t>ゼン</t>
    </rPh>
    <rPh sb="6" eb="7">
      <t>アカ</t>
    </rPh>
    <phoneticPr fontId="3"/>
  </si>
  <si>
    <t>秒</t>
    <rPh sb="0" eb="1">
      <t>ビョウ</t>
    </rPh>
    <phoneticPr fontId="3"/>
  </si>
  <si>
    <t>４．工事の状況</t>
    <rPh sb="2" eb="4">
      <t>コウジ</t>
    </rPh>
    <rPh sb="5" eb="7">
      <t>ジョウキョウ</t>
    </rPh>
    <phoneticPr fontId="3"/>
  </si>
  <si>
    <t>（６）</t>
  </si>
  <si>
    <t>施工区間長</t>
    <rPh sb="0" eb="2">
      <t>セコウ</t>
    </rPh>
    <rPh sb="2" eb="4">
      <t>クカン</t>
    </rPh>
    <rPh sb="4" eb="5">
      <t>チョウ</t>
    </rPh>
    <phoneticPr fontId="3"/>
  </si>
  <si>
    <t>規制位置A</t>
    <rPh sb="0" eb="2">
      <t>キセイ</t>
    </rPh>
    <rPh sb="2" eb="4">
      <t>イチ</t>
    </rPh>
    <phoneticPr fontId="3"/>
  </si>
  <si>
    <t>規制位置B</t>
    <rPh sb="0" eb="2">
      <t>キセイ</t>
    </rPh>
    <rPh sb="2" eb="4">
      <t>イチ</t>
    </rPh>
    <phoneticPr fontId="3"/>
  </si>
  <si>
    <t>規制時間</t>
    <rPh sb="0" eb="2">
      <t>キセイ</t>
    </rPh>
    <rPh sb="2" eb="4">
      <t>ジカン</t>
    </rPh>
    <phoneticPr fontId="3"/>
  </si>
  <si>
    <t>種類</t>
    <rPh sb="0" eb="2">
      <t>シュルイ</t>
    </rPh>
    <phoneticPr fontId="3"/>
  </si>
  <si>
    <t>５．シミュレーション条件</t>
    <rPh sb="10" eb="12">
      <t>ジョウケン</t>
    </rPh>
    <phoneticPr fontId="3"/>
  </si>
  <si>
    <t>リンク数</t>
    <rPh sb="3" eb="4">
      <t>スウ</t>
    </rPh>
    <phoneticPr fontId="3"/>
  </si>
  <si>
    <t>A</t>
    <phoneticPr fontId="3"/>
  </si>
  <si>
    <t>本</t>
    <rPh sb="0" eb="1">
      <t>ホン</t>
    </rPh>
    <phoneticPr fontId="3"/>
  </si>
  <si>
    <t>（７）</t>
  </si>
  <si>
    <t>（固定）</t>
    <rPh sb="1" eb="3">
      <t>コテイ</t>
    </rPh>
    <phoneticPr fontId="3"/>
  </si>
  <si>
    <t>シミュレーション時間</t>
    <rPh sb="8" eb="10">
      <t>ジカン</t>
    </rPh>
    <phoneticPr fontId="3"/>
  </si>
  <si>
    <t>平均時間</t>
    <rPh sb="0" eb="2">
      <t>ヘイキン</t>
    </rPh>
    <rPh sb="2" eb="4">
      <t>ジカン</t>
    </rPh>
    <phoneticPr fontId="3"/>
  </si>
  <si>
    <t>規制なし</t>
    <rPh sb="0" eb="2">
      <t>キセイ</t>
    </rPh>
    <phoneticPr fontId="3"/>
  </si>
  <si>
    <t>リンク長(1,3)</t>
    <rPh sb="3" eb="4">
      <t>チョウ</t>
    </rPh>
    <phoneticPr fontId="3"/>
  </si>
  <si>
    <t>リンク長(1,4)</t>
    <rPh sb="3" eb="4">
      <t>チョウ</t>
    </rPh>
    <phoneticPr fontId="3"/>
  </si>
  <si>
    <t>リンク長(1,5)</t>
    <rPh sb="3" eb="4">
      <t>チョウ</t>
    </rPh>
    <phoneticPr fontId="3"/>
  </si>
  <si>
    <t>リンク長(3,4)</t>
    <rPh sb="3" eb="4">
      <t>チョウ</t>
    </rPh>
    <phoneticPr fontId="3"/>
  </si>
  <si>
    <t>リンク長(3,5)</t>
    <rPh sb="3" eb="4">
      <t>チョウ</t>
    </rPh>
    <phoneticPr fontId="3"/>
  </si>
  <si>
    <t>リンク長(4,5)</t>
    <rPh sb="3" eb="4">
      <t>チョウ</t>
    </rPh>
    <phoneticPr fontId="3"/>
  </si>
  <si>
    <t>リンク[1→3]</t>
    <phoneticPr fontId="3"/>
  </si>
  <si>
    <t>リンク[1→4]</t>
  </si>
  <si>
    <t>リンク[1→5]</t>
  </si>
  <si>
    <t>リンク[3→1]</t>
    <phoneticPr fontId="3"/>
  </si>
  <si>
    <t>リンク[3→4]</t>
  </si>
  <si>
    <t>リンク[3→5]</t>
  </si>
  <si>
    <t>リンク[4→1]</t>
    <phoneticPr fontId="3"/>
  </si>
  <si>
    <t>リンク[4→3]</t>
  </si>
  <si>
    <t>リンク[4→5]</t>
  </si>
  <si>
    <t>リンク[5→1]</t>
    <phoneticPr fontId="3"/>
  </si>
  <si>
    <t>リンク[5→3]</t>
    <phoneticPr fontId="3"/>
  </si>
  <si>
    <t>リンク[5→4]</t>
    <phoneticPr fontId="3"/>
  </si>
  <si>
    <t>①</t>
    <phoneticPr fontId="3"/>
  </si>
  <si>
    <t>遅れ時間</t>
    <rPh sb="0" eb="1">
      <t>オク</t>
    </rPh>
    <rPh sb="2" eb="4">
      <t>ジカン</t>
    </rPh>
    <phoneticPr fontId="3"/>
  </si>
  <si>
    <t>(分)</t>
    <rPh sb="1" eb="2">
      <t>フン</t>
    </rPh>
    <phoneticPr fontId="3"/>
  </si>
  <si>
    <t>②</t>
    <phoneticPr fontId="3"/>
  </si>
  <si>
    <t>(台/時)</t>
    <rPh sb="1" eb="2">
      <t>ダイ</t>
    </rPh>
    <rPh sb="3" eb="4">
      <t>ジ</t>
    </rPh>
    <phoneticPr fontId="3"/>
  </si>
  <si>
    <t>③</t>
    <phoneticPr fontId="3"/>
  </si>
  <si>
    <t>時間価値原単位</t>
    <rPh sb="0" eb="2">
      <t>ジカン</t>
    </rPh>
    <rPh sb="2" eb="4">
      <t>カチ</t>
    </rPh>
    <rPh sb="4" eb="7">
      <t>ゲンタンイ</t>
    </rPh>
    <phoneticPr fontId="3"/>
  </si>
  <si>
    <t>(円/分･台)</t>
    <rPh sb="1" eb="2">
      <t>エン</t>
    </rPh>
    <rPh sb="3" eb="4">
      <t>フン</t>
    </rPh>
    <rPh sb="5" eb="6">
      <t>ダイ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</si>
  <si>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</si>
  <si>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</si>
  <si>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リンク長</t>
    <rPh sb="3" eb="4">
      <t>チョウ</t>
    </rPh>
    <phoneticPr fontId="3"/>
  </si>
  <si>
    <t>(m)</t>
    <phoneticPr fontId="3"/>
  </si>
  <si>
    <t>規制あり</t>
    <rPh sb="0" eb="2">
      <t>キセイ</t>
    </rPh>
    <phoneticPr fontId="3"/>
  </si>
  <si>
    <t>④</t>
    <phoneticPr fontId="3"/>
  </si>
  <si>
    <t>(円/日）</t>
    <rPh sb="1" eb="2">
      <t>エン</t>
    </rPh>
    <rPh sb="3" eb="4">
      <t>ニチ</t>
    </rPh>
    <phoneticPr fontId="3"/>
  </si>
  <si>
    <t>(円/t)</t>
    <rPh sb="1" eb="2">
      <t>エン</t>
    </rPh>
    <phoneticPr fontId="3"/>
  </si>
  <si>
    <t>(g/km･台)</t>
    <rPh sb="6" eb="7">
      <t>ダイ</t>
    </rPh>
    <phoneticPr fontId="3"/>
  </si>
  <si>
    <t>(km)</t>
    <phoneticPr fontId="3"/>
  </si>
  <si>
    <t>⑤</t>
    <phoneticPr fontId="3"/>
  </si>
  <si>
    <t>速度</t>
    <rPh sb="0" eb="2">
      <t>ソクド</t>
    </rPh>
    <phoneticPr fontId="3"/>
  </si>
  <si>
    <t>(km/時)</t>
    <rPh sb="4" eb="5">
      <t>ジ</t>
    </rPh>
    <phoneticPr fontId="3"/>
  </si>
  <si>
    <t>⑥</t>
    <phoneticPr fontId="3"/>
  </si>
  <si>
    <t>⑦</t>
    <phoneticPr fontId="3"/>
  </si>
  <si>
    <t>⑨</t>
    <phoneticPr fontId="3"/>
  </si>
  <si>
    <t>(g/km･台)</t>
    <phoneticPr fontId="3"/>
  </si>
  <si>
    <t>(円/t)</t>
    <phoneticPr fontId="3"/>
  </si>
  <si>
    <t>(円/日）</t>
    <phoneticPr fontId="3"/>
  </si>
  <si>
    <t>⑧</t>
    <phoneticPr fontId="3"/>
  </si>
  <si>
    <t>(ℓ/km･台)</t>
    <phoneticPr fontId="3"/>
  </si>
  <si>
    <t>⑪</t>
    <phoneticPr fontId="3"/>
  </si>
  <si>
    <t>(円/ℓ)</t>
    <phoneticPr fontId="3"/>
  </si>
  <si>
    <t>規制日数</t>
    <rPh sb="0" eb="2">
      <t>キセイ</t>
    </rPh>
    <rPh sb="2" eb="4">
      <t>ニッスウ</t>
    </rPh>
    <phoneticPr fontId="3"/>
  </si>
  <si>
    <t>項目</t>
    <rPh sb="0" eb="2">
      <t>コウモク</t>
    </rPh>
    <phoneticPr fontId="5"/>
  </si>
  <si>
    <t>A案（非開削工法）</t>
    <rPh sb="1" eb="2">
      <t>アン</t>
    </rPh>
    <rPh sb="3" eb="4">
      <t>ヒ</t>
    </rPh>
    <rPh sb="4" eb="6">
      <t>カイサク</t>
    </rPh>
    <rPh sb="6" eb="8">
      <t>コウホウ</t>
    </rPh>
    <phoneticPr fontId="5"/>
  </si>
  <si>
    <t>B案（開削工法）</t>
    <rPh sb="1" eb="2">
      <t>アン</t>
    </rPh>
    <rPh sb="3" eb="5">
      <t>カイサク</t>
    </rPh>
    <rPh sb="5" eb="7">
      <t>コウホウ</t>
    </rPh>
    <phoneticPr fontId="5"/>
  </si>
  <si>
    <t>差（開削－非開削）</t>
    <rPh sb="0" eb="1">
      <t>サ</t>
    </rPh>
    <rPh sb="2" eb="4">
      <t>カイサク</t>
    </rPh>
    <rPh sb="5" eb="6">
      <t>ヒ</t>
    </rPh>
    <rPh sb="6" eb="8">
      <t>カイサク</t>
    </rPh>
    <phoneticPr fontId="5"/>
  </si>
  <si>
    <t>私的費用</t>
    <rPh sb="0" eb="2">
      <t>シテキ</t>
    </rPh>
    <rPh sb="2" eb="4">
      <t>ヒヨウ</t>
    </rPh>
    <phoneticPr fontId="5"/>
  </si>
  <si>
    <t>工事費用</t>
    <rPh sb="0" eb="2">
      <t>コウジ</t>
    </rPh>
    <rPh sb="2" eb="4">
      <t>ヒヨウ</t>
    </rPh>
    <phoneticPr fontId="5"/>
  </si>
  <si>
    <t>直接工事費</t>
    <rPh sb="0" eb="2">
      <t>チョクセツ</t>
    </rPh>
    <rPh sb="2" eb="5">
      <t>コウジヒ</t>
    </rPh>
    <phoneticPr fontId="5"/>
  </si>
  <si>
    <t>間接工事費</t>
    <rPh sb="0" eb="2">
      <t>カンセツ</t>
    </rPh>
    <rPh sb="2" eb="5">
      <t>コウジヒ</t>
    </rPh>
    <phoneticPr fontId="5"/>
  </si>
  <si>
    <t>貨幣換算項目の小計</t>
    <rPh sb="0" eb="2">
      <t>カヘイ</t>
    </rPh>
    <rPh sb="2" eb="4">
      <t>カンザン</t>
    </rPh>
    <rPh sb="4" eb="6">
      <t>コウモク</t>
    </rPh>
    <rPh sb="7" eb="9">
      <t>ショウケイ</t>
    </rPh>
    <phoneticPr fontId="5"/>
  </si>
  <si>
    <t>外部費用</t>
    <rPh sb="0" eb="2">
      <t>ガイブ</t>
    </rPh>
    <rPh sb="2" eb="4">
      <t>ヒヨウ</t>
    </rPh>
    <phoneticPr fontId="5"/>
  </si>
  <si>
    <t>沿道居住者</t>
    <rPh sb="0" eb="2">
      <t>エンドウ</t>
    </rPh>
    <rPh sb="2" eb="5">
      <t>キョジュウシャ</t>
    </rPh>
    <phoneticPr fontId="5"/>
  </si>
  <si>
    <t>合計</t>
    <rPh sb="0" eb="2">
      <t>ゴウケイ</t>
    </rPh>
    <phoneticPr fontId="5"/>
  </si>
  <si>
    <t>NOX
排出係数</t>
    <phoneticPr fontId="3"/>
  </si>
  <si>
    <t>NOX環境負荷
費用原単位</t>
    <phoneticPr fontId="3"/>
  </si>
  <si>
    <t>NOX環境負荷
増分費用</t>
    <phoneticPr fontId="3"/>
  </si>
  <si>
    <t>燃料
消費率</t>
    <rPh sb="0" eb="2">
      <t>ネンリョウ</t>
    </rPh>
    <rPh sb="3" eb="5">
      <t>ショウヒ</t>
    </rPh>
    <rPh sb="5" eb="6">
      <t>リツ</t>
    </rPh>
    <phoneticPr fontId="3"/>
  </si>
  <si>
    <t>燃料
単価</t>
    <rPh sb="0" eb="2">
      <t>ネンリョウ</t>
    </rPh>
    <rPh sb="3" eb="5">
      <t>タンカ</t>
    </rPh>
    <phoneticPr fontId="3"/>
  </si>
  <si>
    <t>燃料
増分費用</t>
    <rPh sb="0" eb="2">
      <t>ネンリョウ</t>
    </rPh>
    <phoneticPr fontId="3"/>
  </si>
  <si>
    <t>環境負荷
増分費用計</t>
    <rPh sb="0" eb="2">
      <t>カンキョウ</t>
    </rPh>
    <rPh sb="2" eb="4">
      <t>フカ</t>
    </rPh>
    <rPh sb="5" eb="7">
      <t>ゾウブン</t>
    </rPh>
    <rPh sb="7" eb="9">
      <t>ヒヨウ</t>
    </rPh>
    <rPh sb="9" eb="10">
      <t>ケイ</t>
    </rPh>
    <phoneticPr fontId="3"/>
  </si>
  <si>
    <t>(日)</t>
    <rPh sb="1" eb="2">
      <t>ニチ</t>
    </rPh>
    <phoneticPr fontId="3"/>
  </si>
  <si>
    <t>(円）</t>
    <rPh sb="1" eb="2">
      <t>エン</t>
    </rPh>
    <phoneticPr fontId="3"/>
  </si>
  <si>
    <t>(日)</t>
    <rPh sb="1" eb="2">
      <t>ニチ</t>
    </rPh>
    <phoneticPr fontId="3"/>
  </si>
  <si>
    <t>(円）</t>
    <phoneticPr fontId="3"/>
  </si>
  <si>
    <t>迂回距離</t>
    <rPh sb="0" eb="2">
      <t>ウカイ</t>
    </rPh>
    <rPh sb="2" eb="4">
      <t>キョリ</t>
    </rPh>
    <phoneticPr fontId="3"/>
  </si>
  <si>
    <t>迂回率</t>
    <rPh sb="0" eb="2">
      <t>ウカイ</t>
    </rPh>
    <rPh sb="2" eb="3">
      <t>リツ</t>
    </rPh>
    <phoneticPr fontId="3"/>
  </si>
  <si>
    <t>歩行者</t>
    <rPh sb="0" eb="3">
      <t>ホコウシャ</t>
    </rPh>
    <phoneticPr fontId="3"/>
  </si>
  <si>
    <t>自転車</t>
    <rPh sb="0" eb="3">
      <t>ジテンシャ</t>
    </rPh>
    <phoneticPr fontId="3"/>
  </si>
  <si>
    <t>歩行速度
走行速度</t>
    <rPh sb="0" eb="2">
      <t>ホコウ</t>
    </rPh>
    <rPh sb="2" eb="4">
      <t>ソクド</t>
    </rPh>
    <rPh sb="5" eb="7">
      <t>ソウコウ</t>
    </rPh>
    <rPh sb="7" eb="9">
      <t>ソクド</t>
    </rPh>
    <phoneticPr fontId="3"/>
  </si>
  <si>
    <t>迂回による
時間増分</t>
    <rPh sb="0" eb="2">
      <t>ウカイ</t>
    </rPh>
    <rPh sb="6" eb="8">
      <t>ジカン</t>
    </rPh>
    <rPh sb="8" eb="10">
      <t>ゾウブン</t>
    </rPh>
    <phoneticPr fontId="3"/>
  </si>
  <si>
    <t>時間価値
原単位</t>
    <rPh sb="0" eb="2">
      <t>ジカン</t>
    </rPh>
    <rPh sb="2" eb="4">
      <t>カチ</t>
    </rPh>
    <rPh sb="5" eb="8">
      <t>ゲンタンイ</t>
    </rPh>
    <phoneticPr fontId="3"/>
  </si>
  <si>
    <t>(人/時)
(台/時)</t>
    <rPh sb="1" eb="2">
      <t>ニン</t>
    </rPh>
    <rPh sb="3" eb="4">
      <t>ジ</t>
    </rPh>
    <rPh sb="7" eb="8">
      <t>ダイ</t>
    </rPh>
    <rPh sb="9" eb="10">
      <t>ジ</t>
    </rPh>
    <phoneticPr fontId="3"/>
  </si>
  <si>
    <t>(円/分人)
(円/分台)</t>
    <rPh sb="1" eb="2">
      <t>エン</t>
    </rPh>
    <rPh sb="3" eb="4">
      <t>フン</t>
    </rPh>
    <rPh sb="4" eb="5">
      <t>ニン</t>
    </rPh>
    <rPh sb="8" eb="9">
      <t>エン</t>
    </rPh>
    <rPh sb="10" eb="11">
      <t>フン</t>
    </rPh>
    <rPh sb="11" eb="12">
      <t>ダイ</t>
    </rPh>
    <phoneticPr fontId="3"/>
  </si>
  <si>
    <t>規制
時間</t>
    <rPh sb="0" eb="2">
      <t>キセイ</t>
    </rPh>
    <rPh sb="3" eb="5">
      <t>ジカン</t>
    </rPh>
    <phoneticPr fontId="3"/>
  </si>
  <si>
    <t>規制
日数</t>
    <rPh sb="0" eb="2">
      <t>キセイ</t>
    </rPh>
    <rPh sb="3" eb="5">
      <t>ニッスウ</t>
    </rPh>
    <phoneticPr fontId="3"/>
  </si>
  <si>
    <t>日</t>
    <rPh sb="0" eb="1">
      <t>ニチ</t>
    </rPh>
    <phoneticPr fontId="3"/>
  </si>
  <si>
    <t>外部費用</t>
    <rPh sb="0" eb="2">
      <t>ガイブ</t>
    </rPh>
    <rPh sb="2" eb="4">
      <t>ヒヨウ</t>
    </rPh>
    <phoneticPr fontId="3"/>
  </si>
  <si>
    <t>計</t>
    <rPh sb="0" eb="1">
      <t>ケイ</t>
    </rPh>
    <phoneticPr fontId="3"/>
  </si>
  <si>
    <t>交通事故による人的損失額</t>
    <rPh sb="0" eb="2">
      <t>コウツウ</t>
    </rPh>
    <rPh sb="2" eb="4">
      <t>ジコ</t>
    </rPh>
    <rPh sb="7" eb="9">
      <t>ジンテキ</t>
    </rPh>
    <rPh sb="9" eb="12">
      <t>ソンシツガク</t>
    </rPh>
    <phoneticPr fontId="3"/>
  </si>
  <si>
    <t>交通事故
死傷率</t>
    <rPh sb="0" eb="2">
      <t>コウツウ</t>
    </rPh>
    <rPh sb="2" eb="4">
      <t>ジコ</t>
    </rPh>
    <rPh sb="5" eb="7">
      <t>シショウ</t>
    </rPh>
    <rPh sb="7" eb="8">
      <t>リツ</t>
    </rPh>
    <phoneticPr fontId="3"/>
  </si>
  <si>
    <t>(円/人)</t>
    <rPh sb="1" eb="2">
      <t>エン</t>
    </rPh>
    <rPh sb="3" eb="4">
      <t>ニン</t>
    </rPh>
    <phoneticPr fontId="3"/>
  </si>
  <si>
    <t>(人/km年)</t>
    <rPh sb="1" eb="2">
      <t>ニン</t>
    </rPh>
    <rPh sb="5" eb="6">
      <t>ネン</t>
    </rPh>
    <phoneticPr fontId="3"/>
  </si>
  <si>
    <t>(dB)</t>
    <phoneticPr fontId="3"/>
  </si>
  <si>
    <t>(㎡)</t>
    <phoneticPr fontId="3"/>
  </si>
  <si>
    <t>影響居住地
面積</t>
    <rPh sb="0" eb="2">
      <t>エイキョウ</t>
    </rPh>
    <rPh sb="2" eb="5">
      <t>キョジュウチ</t>
    </rPh>
    <rPh sb="6" eb="8">
      <t>メンセキ</t>
    </rPh>
    <phoneticPr fontId="3"/>
  </si>
  <si>
    <t>人口密度</t>
    <rPh sb="0" eb="2">
      <t>ジンコウ</t>
    </rPh>
    <rPh sb="2" eb="4">
      <t>ミツド</t>
    </rPh>
    <phoneticPr fontId="3"/>
  </si>
  <si>
    <t>(人/㎢)</t>
    <rPh sb="1" eb="2">
      <t>ニン</t>
    </rPh>
    <phoneticPr fontId="3"/>
  </si>
  <si>
    <t>外出者数</t>
    <rPh sb="0" eb="2">
      <t>ガイシュツ</t>
    </rPh>
    <rPh sb="2" eb="3">
      <t>シャ</t>
    </rPh>
    <rPh sb="3" eb="4">
      <t>スウ</t>
    </rPh>
    <phoneticPr fontId="3"/>
  </si>
  <si>
    <t>(人/時)</t>
    <rPh sb="1" eb="2">
      <t>ニン</t>
    </rPh>
    <rPh sb="3" eb="4">
      <t>ジ</t>
    </rPh>
    <phoneticPr fontId="3"/>
  </si>
  <si>
    <t>外出断念率</t>
    <rPh sb="0" eb="2">
      <t>ガイシュツ</t>
    </rPh>
    <rPh sb="2" eb="4">
      <t>ダンネン</t>
    </rPh>
    <rPh sb="4" eb="5">
      <t>リツ</t>
    </rPh>
    <phoneticPr fontId="3"/>
  </si>
  <si>
    <t>外出断念
原単位</t>
    <rPh sb="0" eb="2">
      <t>ガイシュツ</t>
    </rPh>
    <rPh sb="2" eb="4">
      <t>ダンネン</t>
    </rPh>
    <rPh sb="5" eb="8">
      <t>ゲンタンイ</t>
    </rPh>
    <phoneticPr fontId="3"/>
  </si>
  <si>
    <t>⑤</t>
    <phoneticPr fontId="3"/>
  </si>
  <si>
    <t>外出方法変更
原単位</t>
    <rPh sb="0" eb="2">
      <t>ガイシュツ</t>
    </rPh>
    <rPh sb="2" eb="4">
      <t>ホウホウ</t>
    </rPh>
    <rPh sb="4" eb="6">
      <t>ヘンコウ</t>
    </rPh>
    <rPh sb="7" eb="10">
      <t>ゲンタンイ</t>
    </rPh>
    <phoneticPr fontId="3"/>
  </si>
  <si>
    <t>外出方法変更による時間ロス</t>
    <rPh sb="0" eb="2">
      <t>ガイシュツ</t>
    </rPh>
    <rPh sb="2" eb="4">
      <t>ホウホウ</t>
    </rPh>
    <rPh sb="4" eb="6">
      <t>ヘンコウ</t>
    </rPh>
    <rPh sb="9" eb="11">
      <t>ジカン</t>
    </rPh>
    <phoneticPr fontId="3"/>
  </si>
  <si>
    <t>⑤</t>
    <phoneticPr fontId="3"/>
  </si>
  <si>
    <t>外出方法
変更率</t>
    <rPh sb="0" eb="2">
      <t>ガイシュツ</t>
    </rPh>
    <rPh sb="2" eb="4">
      <t>ホウホウ</t>
    </rPh>
    <rPh sb="5" eb="7">
      <t>ヘンコウ</t>
    </rPh>
    <rPh sb="7" eb="8">
      <t>リツ</t>
    </rPh>
    <phoneticPr fontId="3"/>
  </si>
  <si>
    <t>出発・帰宅時間変更による時間ロス</t>
    <rPh sb="0" eb="2">
      <t>シュッパツ</t>
    </rPh>
    <rPh sb="3" eb="5">
      <t>キタク</t>
    </rPh>
    <rPh sb="5" eb="7">
      <t>ジカン</t>
    </rPh>
    <rPh sb="7" eb="9">
      <t>ヘンコウ</t>
    </rPh>
    <rPh sb="12" eb="14">
      <t>ジカン</t>
    </rPh>
    <phoneticPr fontId="3"/>
  </si>
  <si>
    <t>通勤・通学</t>
    <rPh sb="0" eb="2">
      <t>ツウキン</t>
    </rPh>
    <rPh sb="3" eb="5">
      <t>ツウガク</t>
    </rPh>
    <phoneticPr fontId="3"/>
  </si>
  <si>
    <t>上記以外</t>
    <rPh sb="0" eb="2">
      <t>ジョウキ</t>
    </rPh>
    <rPh sb="2" eb="4">
      <t>イガイ</t>
    </rPh>
    <phoneticPr fontId="3"/>
  </si>
  <si>
    <t>出発・帰宅時間
変更率</t>
    <rPh sb="0" eb="2">
      <t>シュッパツ</t>
    </rPh>
    <rPh sb="3" eb="5">
      <t>キタク</t>
    </rPh>
    <rPh sb="5" eb="7">
      <t>ジカン</t>
    </rPh>
    <rPh sb="8" eb="10">
      <t>ヘンコウ</t>
    </rPh>
    <rPh sb="10" eb="11">
      <t>リツ</t>
    </rPh>
    <phoneticPr fontId="3"/>
  </si>
  <si>
    <t>通勤・通学</t>
  </si>
  <si>
    <t>上記以外</t>
  </si>
  <si>
    <t>断水</t>
    <rPh sb="0" eb="2">
      <t>ダンスイ</t>
    </rPh>
    <phoneticPr fontId="3"/>
  </si>
  <si>
    <t>(人/世帯)</t>
    <rPh sb="1" eb="2">
      <t>ニン</t>
    </rPh>
    <rPh sb="3" eb="5">
      <t>セタイ</t>
    </rPh>
    <phoneticPr fontId="3"/>
  </si>
  <si>
    <t>停電
原単位</t>
    <rPh sb="0" eb="2">
      <t>テイデン</t>
    </rPh>
    <rPh sb="3" eb="6">
      <t>ゲンタンイ</t>
    </rPh>
    <phoneticPr fontId="3"/>
  </si>
  <si>
    <t>影響世帯数</t>
    <rPh sb="0" eb="2">
      <t>エイキョウ</t>
    </rPh>
    <rPh sb="2" eb="5">
      <t>セタイスウ</t>
    </rPh>
    <phoneticPr fontId="3"/>
  </si>
  <si>
    <t>(世帯)</t>
    <rPh sb="1" eb="3">
      <t>セタイ</t>
    </rPh>
    <phoneticPr fontId="3"/>
  </si>
  <si>
    <t>断水発生率</t>
    <rPh sb="0" eb="2">
      <t>ダンスイ</t>
    </rPh>
    <rPh sb="2" eb="4">
      <t>ハッセイ</t>
    </rPh>
    <rPh sb="4" eb="5">
      <t>リツ</t>
    </rPh>
    <phoneticPr fontId="3"/>
  </si>
  <si>
    <t>断水
原単位</t>
    <rPh sb="0" eb="2">
      <t>ダンスイ</t>
    </rPh>
    <rPh sb="3" eb="6">
      <t>ゲンタンイ</t>
    </rPh>
    <phoneticPr fontId="3"/>
  </si>
  <si>
    <t>(店)</t>
    <rPh sb="1" eb="2">
      <t>テン</t>
    </rPh>
    <phoneticPr fontId="3"/>
  </si>
  <si>
    <t>停電発生回数</t>
    <rPh sb="0" eb="2">
      <t>テイデン</t>
    </rPh>
    <rPh sb="2" eb="4">
      <t>ハッセイ</t>
    </rPh>
    <rPh sb="4" eb="6">
      <t>カイスウ</t>
    </rPh>
    <phoneticPr fontId="3"/>
  </si>
  <si>
    <t>影響
事業所数</t>
    <rPh sb="0" eb="2">
      <t>エイキョウ</t>
    </rPh>
    <rPh sb="3" eb="6">
      <t>ジギョウショ</t>
    </rPh>
    <rPh sb="6" eb="7">
      <t>スウ</t>
    </rPh>
    <phoneticPr fontId="3"/>
  </si>
  <si>
    <t>(円/㎥・事業所)</t>
    <rPh sb="1" eb="2">
      <t>エン</t>
    </rPh>
    <rPh sb="5" eb="8">
      <t>ジギョウショ</t>
    </rPh>
    <phoneticPr fontId="3"/>
  </si>
  <si>
    <t>断水発生回数</t>
    <rPh sb="0" eb="2">
      <t>ダンスイ</t>
    </rPh>
    <rPh sb="2" eb="4">
      <t>ハッセイ</t>
    </rPh>
    <rPh sb="4" eb="6">
      <t>カイスウ</t>
    </rPh>
    <phoneticPr fontId="3"/>
  </si>
  <si>
    <t>断水により
失われる水量</t>
    <rPh sb="0" eb="2">
      <t>ダンスイ</t>
    </rPh>
    <rPh sb="6" eb="7">
      <t>ウシナ</t>
    </rPh>
    <rPh sb="10" eb="12">
      <t>スイリョウ</t>
    </rPh>
    <phoneticPr fontId="3"/>
  </si>
  <si>
    <t>使用水量</t>
    <rPh sb="0" eb="2">
      <t>シヨウ</t>
    </rPh>
    <rPh sb="2" eb="4">
      <t>スイリョウ</t>
    </rPh>
    <phoneticPr fontId="3"/>
  </si>
  <si>
    <t>断水時間</t>
    <rPh sb="0" eb="2">
      <t>ダンスイ</t>
    </rPh>
    <rPh sb="2" eb="4">
      <t>ジカン</t>
    </rPh>
    <phoneticPr fontId="3"/>
  </si>
  <si>
    <t>(㎥)</t>
    <phoneticPr fontId="3"/>
  </si>
  <si>
    <t>影響
商店数</t>
    <rPh sb="0" eb="2">
      <t>エイキョウ</t>
    </rPh>
    <rPh sb="3" eb="5">
      <t>ショウテン</t>
    </rPh>
    <rPh sb="5" eb="6">
      <t>スウ</t>
    </rPh>
    <phoneticPr fontId="3"/>
  </si>
  <si>
    <t>断水
発生回数</t>
    <rPh sb="0" eb="2">
      <t>ダンスイ</t>
    </rPh>
    <rPh sb="3" eb="5">
      <t>ハッセイ</t>
    </rPh>
    <rPh sb="5" eb="7">
      <t>カイスウ</t>
    </rPh>
    <phoneticPr fontId="3"/>
  </si>
  <si>
    <t>影響
商店数</t>
    <rPh sb="0" eb="2">
      <t>エイキョウ</t>
    </rPh>
    <rPh sb="3" eb="6">
      <t>ショウテンスウ</t>
    </rPh>
    <phoneticPr fontId="3"/>
  </si>
  <si>
    <t>(店)</t>
    <rPh sb="1" eb="2">
      <t>ミセ</t>
    </rPh>
    <phoneticPr fontId="3"/>
  </si>
  <si>
    <t>(円/時)</t>
    <rPh sb="1" eb="2">
      <t>エン</t>
    </rPh>
    <rPh sb="3" eb="4">
      <t>ジ</t>
    </rPh>
    <phoneticPr fontId="3"/>
  </si>
  <si>
    <t>(人)</t>
    <rPh sb="1" eb="2">
      <t>ニン</t>
    </rPh>
    <phoneticPr fontId="3"/>
  </si>
  <si>
    <t>小型車</t>
  </si>
  <si>
    <t>大型車</t>
  </si>
  <si>
    <t>（円/ｔ-C)</t>
    <rPh sb="1" eb="2">
      <t>エン</t>
    </rPh>
    <phoneticPr fontId="9"/>
  </si>
  <si>
    <t>貨幣価値
原単位</t>
    <rPh sb="0" eb="2">
      <t>カヘイ</t>
    </rPh>
    <rPh sb="2" eb="4">
      <t>カチ</t>
    </rPh>
    <rPh sb="5" eb="8">
      <t>ゲンタンイ</t>
    </rPh>
    <phoneticPr fontId="9"/>
  </si>
  <si>
    <t>土砂運搬条件</t>
    <rPh sb="0" eb="2">
      <t>ドシャ</t>
    </rPh>
    <rPh sb="2" eb="4">
      <t>ウンパン</t>
    </rPh>
    <rPh sb="4" eb="6">
      <t>ジョウケン</t>
    </rPh>
    <phoneticPr fontId="9"/>
  </si>
  <si>
    <t>施工条件</t>
    <rPh sb="0" eb="2">
      <t>セコウ</t>
    </rPh>
    <rPh sb="2" eb="4">
      <t>ジョウケン</t>
    </rPh>
    <phoneticPr fontId="9"/>
  </si>
  <si>
    <t>ダンプトラック10t
バックホウ平積0.6㎥
運搬距離10km
DIDあり</t>
    <rPh sb="16" eb="17">
      <t>ヒラ</t>
    </rPh>
    <rPh sb="17" eb="18">
      <t>ヅ</t>
    </rPh>
    <rPh sb="23" eb="25">
      <t>ウンパン</t>
    </rPh>
    <rPh sb="25" eb="27">
      <t>キョリ</t>
    </rPh>
    <phoneticPr fontId="9"/>
  </si>
  <si>
    <t>(kg-C）</t>
    <phoneticPr fontId="9"/>
  </si>
  <si>
    <t>（㎥）</t>
    <phoneticPr fontId="9"/>
  </si>
  <si>
    <t>（ｍ）</t>
    <phoneticPr fontId="9"/>
  </si>
  <si>
    <t>（mm）</t>
    <phoneticPr fontId="9"/>
  </si>
  <si>
    <t>管径</t>
    <rPh sb="0" eb="2">
      <t>カンケイ</t>
    </rPh>
    <phoneticPr fontId="9"/>
  </si>
  <si>
    <t>3.2　道路交通への影響に関する外部費用</t>
    <rPh sb="4" eb="6">
      <t>ドウロ</t>
    </rPh>
    <rPh sb="6" eb="8">
      <t>コウツウ</t>
    </rPh>
    <rPh sb="10" eb="12">
      <t>エイキョウ</t>
    </rPh>
    <rPh sb="13" eb="14">
      <t>カン</t>
    </rPh>
    <rPh sb="16" eb="18">
      <t>ガイブ</t>
    </rPh>
    <rPh sb="18" eb="20">
      <t>ヒヨウ</t>
    </rPh>
    <phoneticPr fontId="5"/>
  </si>
  <si>
    <t>3.3.4　走行距離に関する外部費用（走行経費増分）</t>
    <rPh sb="6" eb="8">
      <t>ソウコウ</t>
    </rPh>
    <rPh sb="8" eb="10">
      <t>キョリ</t>
    </rPh>
    <rPh sb="11" eb="12">
      <t>カン</t>
    </rPh>
    <rPh sb="14" eb="16">
      <t>ガイブ</t>
    </rPh>
    <rPh sb="16" eb="18">
      <t>ヒヨウ</t>
    </rPh>
    <rPh sb="19" eb="21">
      <t>ソウコウ</t>
    </rPh>
    <rPh sb="21" eb="23">
      <t>ケイヒ</t>
    </rPh>
    <rPh sb="23" eb="25">
      <t>ゾウブン</t>
    </rPh>
    <phoneticPr fontId="5"/>
  </si>
  <si>
    <t>3.3.3　環境負荷に関する外部費用（環境負荷増分）</t>
    <rPh sb="6" eb="8">
      <t>カンキョウ</t>
    </rPh>
    <rPh sb="8" eb="10">
      <t>フカ</t>
    </rPh>
    <rPh sb="11" eb="12">
      <t>カン</t>
    </rPh>
    <rPh sb="14" eb="16">
      <t>ガイブ</t>
    </rPh>
    <rPh sb="16" eb="18">
      <t>ヒヨウ</t>
    </rPh>
    <rPh sb="19" eb="21">
      <t>カンキョウ</t>
    </rPh>
    <rPh sb="21" eb="23">
      <t>フカ</t>
    </rPh>
    <rPh sb="23" eb="25">
      <t>ゾウブン</t>
    </rPh>
    <phoneticPr fontId="5"/>
  </si>
  <si>
    <t>3.3.5　交通事故に関する外部費用（事故確率増分）</t>
    <rPh sb="6" eb="8">
      <t>コウツウ</t>
    </rPh>
    <rPh sb="8" eb="10">
      <t>ジコ</t>
    </rPh>
    <rPh sb="11" eb="12">
      <t>カン</t>
    </rPh>
    <rPh sb="14" eb="16">
      <t>ガイブ</t>
    </rPh>
    <rPh sb="16" eb="18">
      <t>ヒヨウ</t>
    </rPh>
    <rPh sb="19" eb="21">
      <t>ジコ</t>
    </rPh>
    <rPh sb="21" eb="23">
      <t>カクリツ</t>
    </rPh>
    <rPh sb="23" eb="25">
      <t>ゾウブン</t>
    </rPh>
    <phoneticPr fontId="5"/>
  </si>
  <si>
    <t>3.4.1　所要時間に関する外部費用（所要時間増分）</t>
    <rPh sb="6" eb="8">
      <t>ショヨウ</t>
    </rPh>
    <rPh sb="8" eb="10">
      <t>ジカン</t>
    </rPh>
    <rPh sb="11" eb="12">
      <t>カン</t>
    </rPh>
    <rPh sb="14" eb="16">
      <t>ガイブ</t>
    </rPh>
    <rPh sb="16" eb="18">
      <t>ヒヨウ</t>
    </rPh>
    <rPh sb="19" eb="21">
      <t>ショヨウ</t>
    </rPh>
    <rPh sb="21" eb="23">
      <t>ジカン</t>
    </rPh>
    <rPh sb="23" eb="25">
      <t>ゾウブン</t>
    </rPh>
    <phoneticPr fontId="5"/>
  </si>
  <si>
    <t>3.4.2　交通事故に関する外部費用（事故確率増分）</t>
    <rPh sb="6" eb="8">
      <t>コウツウ</t>
    </rPh>
    <rPh sb="8" eb="10">
      <t>ジコ</t>
    </rPh>
    <rPh sb="11" eb="12">
      <t>カン</t>
    </rPh>
    <rPh sb="14" eb="16">
      <t>ガイブ</t>
    </rPh>
    <rPh sb="16" eb="18">
      <t>ヒヨウ</t>
    </rPh>
    <rPh sb="19" eb="21">
      <t>ジコ</t>
    </rPh>
    <rPh sb="21" eb="23">
      <t>カクリツ</t>
    </rPh>
    <rPh sb="23" eb="25">
      <t>ゾウブン</t>
    </rPh>
    <phoneticPr fontId="5"/>
  </si>
  <si>
    <t>3.5.1　工事騒音に関する外部費用（工事騒音増分）</t>
    <rPh sb="6" eb="8">
      <t>コウジ</t>
    </rPh>
    <rPh sb="8" eb="10">
      <t>ソウオン</t>
    </rPh>
    <rPh sb="11" eb="12">
      <t>カン</t>
    </rPh>
    <rPh sb="14" eb="16">
      <t>ガイブ</t>
    </rPh>
    <rPh sb="16" eb="18">
      <t>ヒヨウ</t>
    </rPh>
    <rPh sb="19" eb="21">
      <t>コウジ</t>
    </rPh>
    <rPh sb="21" eb="23">
      <t>ソウオン</t>
    </rPh>
    <rPh sb="23" eb="25">
      <t>ゾウブン</t>
    </rPh>
    <phoneticPr fontId="3"/>
  </si>
  <si>
    <t>沿道商業者</t>
    <rPh sb="0" eb="2">
      <t>エンドウ</t>
    </rPh>
    <rPh sb="2" eb="5">
      <t>ショウギョウシャ</t>
    </rPh>
    <phoneticPr fontId="5"/>
  </si>
  <si>
    <t>沿道事業者</t>
    <rPh sb="0" eb="2">
      <t>エンドウ</t>
    </rPh>
    <rPh sb="2" eb="5">
      <t>ジギョウシャ</t>
    </rPh>
    <phoneticPr fontId="5"/>
  </si>
  <si>
    <t>3.5.2　工事振動に関する外部費用（工事振動増分）</t>
    <rPh sb="6" eb="8">
      <t>コウジ</t>
    </rPh>
    <rPh sb="8" eb="10">
      <t>シンドウ</t>
    </rPh>
    <rPh sb="11" eb="12">
      <t>カン</t>
    </rPh>
    <rPh sb="14" eb="16">
      <t>ガイブ</t>
    </rPh>
    <rPh sb="16" eb="18">
      <t>ヒヨウ</t>
    </rPh>
    <rPh sb="19" eb="21">
      <t>コウジ</t>
    </rPh>
    <rPh sb="21" eb="23">
      <t>シンドウ</t>
    </rPh>
    <rPh sb="23" eb="25">
      <t>ゾウブン</t>
    </rPh>
    <phoneticPr fontId="3"/>
  </si>
  <si>
    <t>3.5.3　健康被害に関する外部費用（健康被害増分）</t>
    <rPh sb="6" eb="8">
      <t>ケンコウ</t>
    </rPh>
    <rPh sb="8" eb="10">
      <t>ヒガイ</t>
    </rPh>
    <rPh sb="11" eb="12">
      <t>カン</t>
    </rPh>
    <rPh sb="14" eb="16">
      <t>ガイブ</t>
    </rPh>
    <rPh sb="16" eb="18">
      <t>ヒヨウ</t>
    </rPh>
    <rPh sb="19" eb="21">
      <t>ケンコウ</t>
    </rPh>
    <rPh sb="21" eb="23">
      <t>ヒガイ</t>
    </rPh>
    <rPh sb="23" eb="25">
      <t>ゾウブン</t>
    </rPh>
    <phoneticPr fontId="3"/>
  </si>
  <si>
    <t>走行費用
原単位</t>
    <rPh sb="0" eb="2">
      <t>ソウコウ</t>
    </rPh>
    <rPh sb="2" eb="4">
      <t>ヒヨウ</t>
    </rPh>
    <rPh sb="5" eb="8">
      <t>ゲンタンイ</t>
    </rPh>
    <phoneticPr fontId="3"/>
  </si>
  <si>
    <t>(円/台km)</t>
    <rPh sb="1" eb="2">
      <t>エン</t>
    </rPh>
    <rPh sb="3" eb="4">
      <t>ダイ</t>
    </rPh>
    <phoneticPr fontId="3"/>
  </si>
  <si>
    <t>通過
交差点</t>
    <rPh sb="0" eb="2">
      <t>ツウカ</t>
    </rPh>
    <rPh sb="3" eb="6">
      <t>コウサテン</t>
    </rPh>
    <phoneticPr fontId="3"/>
  </si>
  <si>
    <t>(箇所)</t>
    <rPh sb="1" eb="3">
      <t>カショ</t>
    </rPh>
    <phoneticPr fontId="3"/>
  </si>
  <si>
    <t>事故増分原単位</t>
    <rPh sb="0" eb="2">
      <t>ジコ</t>
    </rPh>
    <rPh sb="2" eb="4">
      <t>ゾウブン</t>
    </rPh>
    <rPh sb="4" eb="7">
      <t>ゲンタンイ</t>
    </rPh>
    <phoneticPr fontId="3"/>
  </si>
  <si>
    <t>台/時･方向</t>
    <rPh sb="0" eb="1">
      <t>ダイ</t>
    </rPh>
    <rPh sb="2" eb="3">
      <t>ジ</t>
    </rPh>
    <rPh sb="4" eb="6">
      <t>ホウコウ</t>
    </rPh>
    <phoneticPr fontId="3"/>
  </si>
  <si>
    <t>B</t>
    <phoneticPr fontId="3"/>
  </si>
  <si>
    <t>m</t>
    <phoneticPr fontId="3"/>
  </si>
  <si>
    <t>C</t>
    <phoneticPr fontId="3"/>
  </si>
  <si>
    <t>（１）</t>
    <phoneticPr fontId="3"/>
  </si>
  <si>
    <t>E</t>
    <phoneticPr fontId="3"/>
  </si>
  <si>
    <t>F</t>
    <phoneticPr fontId="3"/>
  </si>
  <si>
    <t>％</t>
    <phoneticPr fontId="3"/>
  </si>
  <si>
    <t>G</t>
    <phoneticPr fontId="3"/>
  </si>
  <si>
    <t>H</t>
    <phoneticPr fontId="3"/>
  </si>
  <si>
    <t>D</t>
    <phoneticPr fontId="3"/>
  </si>
  <si>
    <t>J</t>
    <phoneticPr fontId="3"/>
  </si>
  <si>
    <t>K</t>
    <phoneticPr fontId="3"/>
  </si>
  <si>
    <t>スプリット</t>
    <phoneticPr fontId="3"/>
  </si>
  <si>
    <t>L</t>
    <phoneticPr fontId="3"/>
  </si>
  <si>
    <t>オフセット</t>
    <phoneticPr fontId="3"/>
  </si>
  <si>
    <t>M</t>
    <phoneticPr fontId="3"/>
  </si>
  <si>
    <t>I</t>
    <phoneticPr fontId="3"/>
  </si>
  <si>
    <t>N</t>
    <phoneticPr fontId="3"/>
  </si>
  <si>
    <t>m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</si>
  <si>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</si>
  <si>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</si>
  <si>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</si>
  <si>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</si>
  <si>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リンク　　　　　　　　　　[1→3]</t>
    <phoneticPr fontId="3"/>
  </si>
  <si>
    <t>リンク　　　　　　　　　　　　[5→3]</t>
    <phoneticPr fontId="3"/>
  </si>
  <si>
    <t>リンク　　　　　　　　　　　　[5→4]</t>
    <phoneticPr fontId="3"/>
  </si>
  <si>
    <t>リンク　　　　　　　　　　　　　　　[3→1]</t>
    <phoneticPr fontId="3"/>
  </si>
  <si>
    <t>リンク　　　　　　　　　　　　[4→1]</t>
    <phoneticPr fontId="3"/>
  </si>
  <si>
    <t>リンク　　　　　　　　　　　　　　[4→5]</t>
    <phoneticPr fontId="3"/>
  </si>
  <si>
    <t>リンク　　　　　　　[5→4]</t>
    <phoneticPr fontId="3"/>
  </si>
  <si>
    <t>リンク　　　　　　　　　　　　[3→1]</t>
    <phoneticPr fontId="3"/>
  </si>
  <si>
    <t>リンク　　　　　　　　　　　[4→3]</t>
    <phoneticPr fontId="3"/>
  </si>
  <si>
    <t>リンク　　　　　　　　　　　[4→5]</t>
    <phoneticPr fontId="3"/>
  </si>
  <si>
    <t>リンク　　　　　　　　　　　[5→1]</t>
    <phoneticPr fontId="3"/>
  </si>
  <si>
    <t>リンク　　　　　　　　　　　[5→3]</t>
    <phoneticPr fontId="3"/>
  </si>
  <si>
    <t>リンク　　　　　　　　　　　[5→4]</t>
    <phoneticPr fontId="3"/>
  </si>
  <si>
    <t>リンク　　　　　　　　　　　　　[1→5]</t>
    <phoneticPr fontId="3"/>
  </si>
  <si>
    <t>リンク　　　　　　　　　　　　[3→5]</t>
    <phoneticPr fontId="3"/>
  </si>
  <si>
    <t>リンク　　　　　　　　　　　　　　[1→4]</t>
    <phoneticPr fontId="3"/>
  </si>
  <si>
    <t>リンク　　　　　　　　　　　　　[3→1]</t>
    <phoneticPr fontId="3"/>
  </si>
  <si>
    <t>リンク　　　　　　　　　　[3→5]</t>
    <phoneticPr fontId="3"/>
  </si>
  <si>
    <t>リンク　　　　　　　　　　[4→3]</t>
    <phoneticPr fontId="3"/>
  </si>
  <si>
    <t>リンク　　　　　　　　　　[5→4]</t>
    <phoneticPr fontId="3"/>
  </si>
  <si>
    <t>リンク　　　　　　　　　[1→3]</t>
    <phoneticPr fontId="3"/>
  </si>
  <si>
    <t>リンク　　　　　　　　　　　　[1→4]</t>
    <phoneticPr fontId="3"/>
  </si>
  <si>
    <t>リンク　　　　　　　　　　[1→5]</t>
    <phoneticPr fontId="3"/>
  </si>
  <si>
    <t>リンク　　　　　　　　　　[3→4]</t>
    <phoneticPr fontId="3"/>
  </si>
  <si>
    <t>リンク　　　　　　　　　　　[3→5]</t>
    <phoneticPr fontId="3"/>
  </si>
  <si>
    <t>リンク　　　　　　　　　[4→1]</t>
    <phoneticPr fontId="3"/>
  </si>
  <si>
    <t>リンク　　　　　　　　　　　　　[5→1]</t>
    <phoneticPr fontId="3"/>
  </si>
  <si>
    <t>リンク　　　　　　　　　　[5→3]</t>
    <phoneticPr fontId="3"/>
  </si>
  <si>
    <t>リンク　　　　　　　　　[1→4]</t>
    <phoneticPr fontId="3"/>
  </si>
  <si>
    <t>リンク　　　　　　　　　　[4→1]</t>
    <phoneticPr fontId="3"/>
  </si>
  <si>
    <t>リンク　　　　　　　　　　　　　[4→5]</t>
    <phoneticPr fontId="3"/>
  </si>
  <si>
    <t>リンク　　　　　　　　　　　　[5→1]</t>
    <phoneticPr fontId="3"/>
  </si>
  <si>
    <t>リンク　　　　　　　　[1→3]</t>
    <phoneticPr fontId="3"/>
  </si>
  <si>
    <t>リンク　　　　　　　　　　　[1→4]</t>
    <phoneticPr fontId="3"/>
  </si>
  <si>
    <t>リンク　　　　　　　　　　　　　　　　　[3→1]</t>
    <phoneticPr fontId="3"/>
  </si>
  <si>
    <t>リンク　　　　　　　　　　　　[3→4]</t>
    <phoneticPr fontId="3"/>
  </si>
  <si>
    <t>リンク　　　　　　　　　　　　[4→3]</t>
    <phoneticPr fontId="3"/>
  </si>
  <si>
    <t>リンク　　　　　　　　　[4→5]</t>
    <phoneticPr fontId="3"/>
  </si>
  <si>
    <t>リンク　　　　　　　　[5→4]</t>
    <phoneticPr fontId="3"/>
  </si>
  <si>
    <t>リンク　　　　　　　　　　　　　　[1→3]</t>
    <phoneticPr fontId="3"/>
  </si>
  <si>
    <t>リンク　　　　　　　　　　　　　　　[1→5]</t>
    <phoneticPr fontId="3"/>
  </si>
  <si>
    <t>リンク　　　　　[3→5]</t>
    <phoneticPr fontId="3"/>
  </si>
  <si>
    <t>リンク　　　　　　　　　　[4→5]</t>
    <phoneticPr fontId="3"/>
  </si>
  <si>
    <t>リンク　　　　　　　　　　　　　　[5→4]</t>
    <phoneticPr fontId="3"/>
  </si>
  <si>
    <t>リンク　　　　　　　　　　　　[1→3]</t>
    <phoneticPr fontId="3"/>
  </si>
  <si>
    <t>リンク　　　　　　　　　　[1→4]</t>
    <phoneticPr fontId="3"/>
  </si>
  <si>
    <t>リンク　　　　　　　　[3→1]</t>
    <phoneticPr fontId="3"/>
  </si>
  <si>
    <t>リンク　　　　　　[3→4]</t>
    <phoneticPr fontId="3"/>
  </si>
  <si>
    <t>リンク　　　　　　[3→5]</t>
    <phoneticPr fontId="3"/>
  </si>
  <si>
    <t>リンク　　　　　　　[4→1]</t>
    <phoneticPr fontId="3"/>
  </si>
  <si>
    <t>リンク　　　　　　　　　　　　　[4→3]</t>
    <phoneticPr fontId="3"/>
  </si>
  <si>
    <t>リンク　　　　　　　　　　　　　　　　　　[4→5]</t>
    <phoneticPr fontId="3"/>
  </si>
  <si>
    <t>リンク　　　　　　　[5→1]</t>
    <phoneticPr fontId="3"/>
  </si>
  <si>
    <t>リンク　　　　　　　　　　　　　[5→4]</t>
    <phoneticPr fontId="3"/>
  </si>
  <si>
    <t>リンク　　　　　[1→4]</t>
    <phoneticPr fontId="3"/>
  </si>
  <si>
    <t>リンク　　　　　　　　　[1→5]</t>
    <phoneticPr fontId="3"/>
  </si>
  <si>
    <t>リンク　　　　　　　　　[3→1]</t>
    <phoneticPr fontId="3"/>
  </si>
  <si>
    <t>リンク　　　　　　　　　　　[1→5]</t>
    <phoneticPr fontId="3"/>
  </si>
  <si>
    <t>リンク　　　　　　　　　[3→4]</t>
    <phoneticPr fontId="3"/>
  </si>
  <si>
    <t>　　</t>
    <phoneticPr fontId="3"/>
  </si>
  <si>
    <t>リンク　　　　　　　　[4→1]</t>
    <phoneticPr fontId="3"/>
  </si>
  <si>
    <t>リンク　　　　　　　　　[4→3]</t>
    <phoneticPr fontId="3"/>
  </si>
  <si>
    <t>リンク　　　　　　　　[4→5]</t>
    <phoneticPr fontId="3"/>
  </si>
  <si>
    <t>リンク　　　　　　　　　[5→1]</t>
    <phoneticPr fontId="3"/>
  </si>
  <si>
    <t>リンク　　　　　　　　　　[3→1]</t>
    <phoneticPr fontId="3"/>
  </si>
  <si>
    <t>リンク　　　　　　[4→1]</t>
    <phoneticPr fontId="3"/>
  </si>
  <si>
    <t>リンク　　　　　　　　[5→1]</t>
    <phoneticPr fontId="3"/>
  </si>
  <si>
    <t>リンク　　　　　　　　　　　　　[5→3]</t>
    <phoneticPr fontId="3"/>
  </si>
  <si>
    <t>迂回　　　　交通量</t>
    <rPh sb="0" eb="2">
      <t>ウカイ</t>
    </rPh>
    <rPh sb="6" eb="8">
      <t>コウツウ</t>
    </rPh>
    <rPh sb="8" eb="9">
      <t>リョウ</t>
    </rPh>
    <phoneticPr fontId="3"/>
  </si>
  <si>
    <t>迂回　　　　距離</t>
    <rPh sb="0" eb="2">
      <t>ウカイ</t>
    </rPh>
    <rPh sb="6" eb="8">
      <t>キョリ</t>
    </rPh>
    <phoneticPr fontId="3"/>
  </si>
  <si>
    <t>≪停電に関する外部費用≫</t>
    <rPh sb="1" eb="3">
      <t>テイデン</t>
    </rPh>
    <rPh sb="4" eb="5">
      <t>カン</t>
    </rPh>
    <rPh sb="7" eb="9">
      <t>ガイブ</t>
    </rPh>
    <rPh sb="9" eb="11">
      <t>ヒヨウ</t>
    </rPh>
    <phoneticPr fontId="3"/>
  </si>
  <si>
    <t>停電　　　　　発生率</t>
    <rPh sb="0" eb="2">
      <t>テイデン</t>
    </rPh>
    <rPh sb="7" eb="9">
      <t>ハッセイ</t>
    </rPh>
    <rPh sb="9" eb="10">
      <t>リツ</t>
    </rPh>
    <phoneticPr fontId="3"/>
  </si>
  <si>
    <t>世帯　　　　人員数</t>
    <rPh sb="0" eb="2">
      <t>セタイ</t>
    </rPh>
    <rPh sb="6" eb="8">
      <t>ジンイン</t>
    </rPh>
    <rPh sb="8" eb="9">
      <t>スウ</t>
    </rPh>
    <phoneticPr fontId="3"/>
  </si>
  <si>
    <t>≪断水に関する外部費用≫</t>
    <rPh sb="1" eb="3">
      <t>ダンスイ</t>
    </rPh>
    <rPh sb="4" eb="5">
      <t>カン</t>
    </rPh>
    <rPh sb="7" eb="9">
      <t>ガイブ</t>
    </rPh>
    <rPh sb="9" eb="11">
      <t>ヒヨウ</t>
    </rPh>
    <phoneticPr fontId="3"/>
  </si>
  <si>
    <t>停電　　　　発生率</t>
    <rPh sb="0" eb="2">
      <t>テイデン</t>
    </rPh>
    <rPh sb="6" eb="8">
      <t>ハッセイ</t>
    </rPh>
    <rPh sb="8" eb="9">
      <t>リツ</t>
    </rPh>
    <phoneticPr fontId="3"/>
  </si>
  <si>
    <t>断水　　　　　発生率</t>
    <rPh sb="0" eb="2">
      <t>ダンスイ</t>
    </rPh>
    <rPh sb="7" eb="9">
      <t>ハッセイ</t>
    </rPh>
    <rPh sb="9" eb="10">
      <t>リツ</t>
    </rPh>
    <phoneticPr fontId="3"/>
  </si>
  <si>
    <t>OD
1→4</t>
    <phoneticPr fontId="3"/>
  </si>
  <si>
    <t>OD
4→5</t>
    <phoneticPr fontId="3"/>
  </si>
  <si>
    <t>OD
5→1</t>
    <phoneticPr fontId="3"/>
  </si>
  <si>
    <t>OD
5→4</t>
    <phoneticPr fontId="3"/>
  </si>
  <si>
    <t>（基準線からの距離）</t>
    <rPh sb="1" eb="4">
      <t>キジュンセン</t>
    </rPh>
    <rPh sb="7" eb="9">
      <t>キョリ</t>
    </rPh>
    <phoneticPr fontId="3"/>
  </si>
  <si>
    <t>非開削
工法</t>
    <rPh sb="0" eb="1">
      <t>ヒ</t>
    </rPh>
    <rPh sb="1" eb="3">
      <t>カイサク</t>
    </rPh>
    <rPh sb="4" eb="6">
      <t>コウホウ</t>
    </rPh>
    <phoneticPr fontId="3"/>
  </si>
  <si>
    <t>開削
工法</t>
    <rPh sb="0" eb="2">
      <t>カイサク</t>
    </rPh>
    <rPh sb="3" eb="5">
      <t>コウホウ</t>
    </rPh>
    <phoneticPr fontId="3"/>
  </si>
  <si>
    <t>OD
3→4</t>
    <phoneticPr fontId="3"/>
  </si>
  <si>
    <t>OD
3→5</t>
    <phoneticPr fontId="3"/>
  </si>
  <si>
    <t>OD
5→3</t>
    <phoneticPr fontId="3"/>
  </si>
  <si>
    <t>試算　　　　　　　　　　　　仮定値</t>
    <rPh sb="0" eb="2">
      <t>シサン</t>
    </rPh>
    <rPh sb="14" eb="16">
      <t>カテイ</t>
    </rPh>
    <rPh sb="16" eb="17">
      <t>アタイ</t>
    </rPh>
    <phoneticPr fontId="3"/>
  </si>
  <si>
    <t>データ・計算式等</t>
    <rPh sb="4" eb="6">
      <t>ケイサン</t>
    </rPh>
    <rPh sb="6" eb="7">
      <t>シキ</t>
    </rPh>
    <rPh sb="7" eb="8">
      <t>ナド</t>
    </rPh>
    <phoneticPr fontId="3"/>
  </si>
  <si>
    <t>ﾃﾞｰﾀ・計算式等</t>
    <rPh sb="5" eb="7">
      <t>ケイサン</t>
    </rPh>
    <rPh sb="7" eb="8">
      <t>シキ</t>
    </rPh>
    <rPh sb="8" eb="9">
      <t>ナド</t>
    </rPh>
    <phoneticPr fontId="3"/>
  </si>
  <si>
    <t>データ・計算式等</t>
    <rPh sb="4" eb="6">
      <t>ケイサン</t>
    </rPh>
    <rPh sb="6" eb="7">
      <t>シキ</t>
    </rPh>
    <rPh sb="7" eb="8">
      <t>ナド</t>
    </rPh>
    <phoneticPr fontId="3"/>
  </si>
  <si>
    <t>データ・計算式等</t>
    <rPh sb="4" eb="6">
      <t>ケイサン</t>
    </rPh>
    <rPh sb="6" eb="7">
      <t>シキ</t>
    </rPh>
    <rPh sb="7" eb="8">
      <t>ナド</t>
    </rPh>
    <phoneticPr fontId="3"/>
  </si>
  <si>
    <t>（回/年）</t>
    <rPh sb="1" eb="2">
      <t>カイ</t>
    </rPh>
    <rPh sb="3" eb="4">
      <t>ネン</t>
    </rPh>
    <phoneticPr fontId="3"/>
  </si>
  <si>
    <t>データ・計算式等</t>
    <rPh sb="4" eb="6">
      <t>ケイサン</t>
    </rPh>
    <rPh sb="6" eb="7">
      <t>シキ</t>
    </rPh>
    <rPh sb="7" eb="8">
      <t>ナド</t>
    </rPh>
    <phoneticPr fontId="3"/>
  </si>
  <si>
    <t>市場価格</t>
    <rPh sb="0" eb="2">
      <t>シジョウ</t>
    </rPh>
    <rPh sb="2" eb="4">
      <t>カカク</t>
    </rPh>
    <phoneticPr fontId="3"/>
  </si>
  <si>
    <t>データ・計算式</t>
    <rPh sb="4" eb="6">
      <t>ケイサン</t>
    </rPh>
    <rPh sb="6" eb="7">
      <t>シキ</t>
    </rPh>
    <phoneticPr fontId="3"/>
  </si>
  <si>
    <t>データ・計算式等</t>
    <rPh sb="4" eb="6">
      <t>ケイサン</t>
    </rPh>
    <rPh sb="6" eb="7">
      <t>シキ</t>
    </rPh>
    <rPh sb="7" eb="8">
      <t>ナド</t>
    </rPh>
    <phoneticPr fontId="3"/>
  </si>
  <si>
    <t>データ・計算式等</t>
    <rPh sb="4" eb="6">
      <t>ケイサン</t>
    </rPh>
    <rPh sb="6" eb="7">
      <t>シキ</t>
    </rPh>
    <rPh sb="7" eb="8">
      <t>ナド</t>
    </rPh>
    <phoneticPr fontId="3"/>
  </si>
  <si>
    <t>①</t>
    <phoneticPr fontId="3"/>
  </si>
  <si>
    <t>②</t>
    <phoneticPr fontId="3"/>
  </si>
  <si>
    <t>③</t>
    <phoneticPr fontId="3"/>
  </si>
  <si>
    <t>⑥</t>
    <phoneticPr fontId="3"/>
  </si>
  <si>
    <t>⑧</t>
    <phoneticPr fontId="3"/>
  </si>
  <si>
    <t>⑨</t>
    <phoneticPr fontId="3"/>
  </si>
  <si>
    <t>⑫</t>
    <phoneticPr fontId="3"/>
  </si>
  <si>
    <t>⑩＝　　　　　　⑧×⑨</t>
    <phoneticPr fontId="3"/>
  </si>
  <si>
    <t>総土量　</t>
    <phoneticPr fontId="9"/>
  </si>
  <si>
    <t>データ・計算式等</t>
    <rPh sb="4" eb="6">
      <t>ケイサン</t>
    </rPh>
    <rPh sb="6" eb="7">
      <t>シキ</t>
    </rPh>
    <rPh sb="7" eb="8">
      <t>ナド</t>
    </rPh>
    <phoneticPr fontId="3"/>
  </si>
  <si>
    <t>迂回　　　　　距離</t>
    <rPh sb="0" eb="2">
      <t>ウカイ</t>
    </rPh>
    <rPh sb="7" eb="9">
      <t>キョリ</t>
    </rPh>
    <phoneticPr fontId="3"/>
  </si>
  <si>
    <t>断水　　　　発生率</t>
    <rPh sb="0" eb="2">
      <t>ダンスイ</t>
    </rPh>
    <rPh sb="6" eb="8">
      <t>ハッセイ</t>
    </rPh>
    <rPh sb="8" eb="9">
      <t>リツ</t>
    </rPh>
    <phoneticPr fontId="3"/>
  </si>
  <si>
    <t>NOX
排出係数</t>
    <phoneticPr fontId="3"/>
  </si>
  <si>
    <t>NOX健康被害影響
費用原単位</t>
    <phoneticPr fontId="3"/>
  </si>
  <si>
    <t>NOX健康被害影響
増分費用</t>
    <phoneticPr fontId="3"/>
  </si>
  <si>
    <t>SPM
排出係数</t>
    <phoneticPr fontId="3"/>
  </si>
  <si>
    <t>SPM健康被害影響
費用原単位</t>
    <phoneticPr fontId="3"/>
  </si>
  <si>
    <t>SPM健康被害影響
増分費用</t>
    <phoneticPr fontId="3"/>
  </si>
  <si>
    <t>(g/km･台)</t>
    <phoneticPr fontId="3"/>
  </si>
  <si>
    <t>(円/t)</t>
    <phoneticPr fontId="3"/>
  </si>
  <si>
    <t>(円/日）</t>
    <phoneticPr fontId="3"/>
  </si>
  <si>
    <t>(g/km･台)</t>
    <phoneticPr fontId="3"/>
  </si>
  <si>
    <t>(円/t)</t>
    <phoneticPr fontId="3"/>
  </si>
  <si>
    <t>(g/km･台)</t>
  </si>
  <si>
    <t>(円/t)</t>
  </si>
  <si>
    <t>(円/日）</t>
  </si>
  <si>
    <t>(円）</t>
    <phoneticPr fontId="3"/>
  </si>
  <si>
    <t>①</t>
    <phoneticPr fontId="3"/>
  </si>
  <si>
    <t>②</t>
    <phoneticPr fontId="3"/>
  </si>
  <si>
    <t>③</t>
    <phoneticPr fontId="3"/>
  </si>
  <si>
    <t>⑧</t>
    <phoneticPr fontId="3"/>
  </si>
  <si>
    <t>⑨</t>
    <phoneticPr fontId="3"/>
  </si>
  <si>
    <t>リンク　　　　　　　　　　[1→3]</t>
    <phoneticPr fontId="3"/>
  </si>
  <si>
    <t>リンク　　　　　　　　　　　[1→4]</t>
    <phoneticPr fontId="3"/>
  </si>
  <si>
    <t>リンク　　　　　　　　　　　　　　　　　　[1→5]</t>
    <phoneticPr fontId="3"/>
  </si>
  <si>
    <t>リンク　　　　　　　　　　　　　　[3→1]</t>
    <phoneticPr fontId="3"/>
  </si>
  <si>
    <t>リンク　　　　　　　　　　　　　　[3→1]</t>
    <phoneticPr fontId="3"/>
  </si>
  <si>
    <t>リンク　　　　　　　　　　　　　　　　　[3→4]</t>
    <phoneticPr fontId="3"/>
  </si>
  <si>
    <t>リンク　　　　　　　　　　　　　　[3→5]</t>
    <phoneticPr fontId="3"/>
  </si>
  <si>
    <t>リンク　　　　　　　　　　　　　[4→1]</t>
    <phoneticPr fontId="3"/>
  </si>
  <si>
    <t>リンク　　　　　　　　　　　[4→5]</t>
    <phoneticPr fontId="3"/>
  </si>
  <si>
    <t>リンク　　　　　　　　　[5→3]</t>
    <phoneticPr fontId="3"/>
  </si>
  <si>
    <t>リンク　　　　　　　　　　　[5→4]</t>
    <phoneticPr fontId="3"/>
  </si>
  <si>
    <t>リンク　　　　　　　　　　　　　　　　　　[1→5]</t>
    <phoneticPr fontId="3"/>
  </si>
  <si>
    <t>リンク　　　　　　　　　　　　　　[3→5]</t>
    <phoneticPr fontId="3"/>
  </si>
  <si>
    <t>リンク　　　　　　　　　　　[4→5]</t>
    <phoneticPr fontId="3"/>
  </si>
  <si>
    <t>リンク　　　　　　　　　　　[5→4]</t>
    <phoneticPr fontId="3"/>
  </si>
  <si>
    <t>リンク　　　　　　　　　　　　　　　　　　[1→5]</t>
    <phoneticPr fontId="3"/>
  </si>
  <si>
    <t>リンク　　　　　　　　　　　　　　[3→5]</t>
    <phoneticPr fontId="3"/>
  </si>
  <si>
    <t>リンク　　　　　　　　　　　[4→5]</t>
    <phoneticPr fontId="3"/>
  </si>
  <si>
    <t>NOX
排出係数</t>
    <phoneticPr fontId="3"/>
  </si>
  <si>
    <t>NOX健康被害影響
費用原単位</t>
    <phoneticPr fontId="3"/>
  </si>
  <si>
    <t>NOX健康被害影響
増分費用</t>
    <phoneticPr fontId="3"/>
  </si>
  <si>
    <t>SPM
排出係数</t>
    <phoneticPr fontId="3"/>
  </si>
  <si>
    <t>SPM健康被害影響
費用原単位</t>
    <phoneticPr fontId="3"/>
  </si>
  <si>
    <t>SPM健康被害影響
増分費用</t>
    <phoneticPr fontId="3"/>
  </si>
  <si>
    <t>リンク　　　　　　　　　　　　　　[3→1]</t>
    <phoneticPr fontId="3"/>
  </si>
  <si>
    <t>リンク　　　　　　　　　　　[4→3]</t>
    <phoneticPr fontId="3"/>
  </si>
  <si>
    <t>リンク　　　　　　　　　　　[4→5]</t>
    <phoneticPr fontId="3"/>
  </si>
  <si>
    <t>NOX
排出係数</t>
    <phoneticPr fontId="3"/>
  </si>
  <si>
    <t>NOX健康被害影響
費用原単位</t>
    <phoneticPr fontId="3"/>
  </si>
  <si>
    <t>NOX健康被害影響
増分費用</t>
    <phoneticPr fontId="3"/>
  </si>
  <si>
    <t>SPM
排出係数</t>
    <phoneticPr fontId="3"/>
  </si>
  <si>
    <t>SPM健康被害影響
費用原単位</t>
    <phoneticPr fontId="3"/>
  </si>
  <si>
    <t>SPM健康被害影響
増分費用</t>
    <phoneticPr fontId="3"/>
  </si>
  <si>
    <t>(時／日)</t>
    <rPh sb="1" eb="2">
      <t>ジ</t>
    </rPh>
    <rPh sb="3" eb="4">
      <t>ヒ</t>
    </rPh>
    <phoneticPr fontId="3"/>
  </si>
  <si>
    <t>リンク　　　　　　　　　　　　　　　　　　[1→5]</t>
    <phoneticPr fontId="3"/>
  </si>
  <si>
    <t>リンク　　　　　　　　　　　　　　[3→1]</t>
    <phoneticPr fontId="3"/>
  </si>
  <si>
    <t>リンク　　　　　　　　　　　　　　　　　[3→4]</t>
    <phoneticPr fontId="3"/>
  </si>
  <si>
    <t>リンク　　　　　　　　　　　　　　[3→5]</t>
    <phoneticPr fontId="3"/>
  </si>
  <si>
    <t>リンク　　　　　　　　　　　　　[4→1]</t>
    <phoneticPr fontId="3"/>
  </si>
  <si>
    <t>リンク　　　　　　　　　　　[4→3]</t>
    <phoneticPr fontId="3"/>
  </si>
  <si>
    <t>リンク　　　　　　　　　　　[4→5]</t>
    <phoneticPr fontId="3"/>
  </si>
  <si>
    <t>リンク　　　　　　　　　　　　[5→1]</t>
    <phoneticPr fontId="3"/>
  </si>
  <si>
    <t>リンク　　　　　　　　　[5→3]</t>
    <phoneticPr fontId="3"/>
  </si>
  <si>
    <t>リンク　　　　　　　　　　　[5→4]</t>
    <phoneticPr fontId="3"/>
  </si>
  <si>
    <t>リンク　　　　　　　　　　[1→3]</t>
    <phoneticPr fontId="3"/>
  </si>
  <si>
    <t>リンク　　　　　　　　　　　[1→4]</t>
    <phoneticPr fontId="3"/>
  </si>
  <si>
    <t>リンク　　　　　　　　　　　　　　[3→1]</t>
    <phoneticPr fontId="3"/>
  </si>
  <si>
    <t>リンク　　　　　　　　　　　　　　　　　[3→4]</t>
    <phoneticPr fontId="3"/>
  </si>
  <si>
    <t>リンク　　　　　　　　　　　[4→3]</t>
    <phoneticPr fontId="3"/>
  </si>
  <si>
    <t>リンク　　　　　　　　　　　　　　　　　[3→4]</t>
    <phoneticPr fontId="3"/>
  </si>
  <si>
    <t>リンク　　　　　　　　　　　[4→5]</t>
    <phoneticPr fontId="3"/>
  </si>
  <si>
    <t>規制　　　日数</t>
    <rPh sb="0" eb="2">
      <t>キセイ</t>
    </rPh>
    <rPh sb="5" eb="7">
      <t>ニッスウ</t>
    </rPh>
    <phoneticPr fontId="3"/>
  </si>
  <si>
    <t>リンク　　　[1→3]</t>
    <phoneticPr fontId="3"/>
  </si>
  <si>
    <t>リンク　　　[1→4]</t>
    <phoneticPr fontId="3"/>
  </si>
  <si>
    <t>リンク　　　　[1→5]</t>
    <phoneticPr fontId="3"/>
  </si>
  <si>
    <t>リンク　　　[3→1]</t>
    <phoneticPr fontId="3"/>
  </si>
  <si>
    <t>リンク　　　[3→4]</t>
    <phoneticPr fontId="3"/>
  </si>
  <si>
    <t>リンク　　　　　[4→1]</t>
    <phoneticPr fontId="3"/>
  </si>
  <si>
    <t>リンク　　　　　[4→3]</t>
    <phoneticPr fontId="3"/>
  </si>
  <si>
    <t>リンク　　　　[4→5]</t>
    <phoneticPr fontId="3"/>
  </si>
  <si>
    <t>リンク　　　　　[5→1]</t>
    <phoneticPr fontId="3"/>
  </si>
  <si>
    <t>リンク　　　　　[5→3]</t>
    <phoneticPr fontId="3"/>
  </si>
  <si>
    <t>リンク　　　　[5→4]</t>
    <phoneticPr fontId="3"/>
  </si>
  <si>
    <t>歩行者
自転車数</t>
    <rPh sb="0" eb="3">
      <t>ホコウシャ</t>
    </rPh>
    <rPh sb="4" eb="7">
      <t>ジテンシャ</t>
    </rPh>
    <rPh sb="7" eb="8">
      <t>スウ</t>
    </rPh>
    <phoneticPr fontId="3"/>
  </si>
  <si>
    <t>工事中
騒音値</t>
    <rPh sb="0" eb="3">
      <t>コウジチュウ</t>
    </rPh>
    <rPh sb="4" eb="6">
      <t>ソウオン</t>
    </rPh>
    <rPh sb="6" eb="7">
      <t>アタイ</t>
    </rPh>
    <phoneticPr fontId="3"/>
  </si>
  <si>
    <t>工事中　　　　騒音値</t>
    <rPh sb="0" eb="3">
      <t>コウジチュウ</t>
    </rPh>
    <rPh sb="7" eb="9">
      <t>ソウオン</t>
    </rPh>
    <rPh sb="9" eb="10">
      <t>アタイ</t>
    </rPh>
    <phoneticPr fontId="3"/>
  </si>
  <si>
    <t>表2-16　　　　　　　　　　　（P32）</t>
    <rPh sb="0" eb="1">
      <t>ヒョウ</t>
    </rPh>
    <phoneticPr fontId="3"/>
  </si>
  <si>
    <t>工事
振動原単位</t>
    <rPh sb="0" eb="2">
      <t>コウジ</t>
    </rPh>
    <rPh sb="3" eb="5">
      <t>シンドウ</t>
    </rPh>
    <rPh sb="5" eb="8">
      <t>ゲンタンイ</t>
    </rPh>
    <phoneticPr fontId="3"/>
  </si>
  <si>
    <t>工事中
振動値</t>
    <rPh sb="0" eb="3">
      <t>コウジチュウ</t>
    </rPh>
    <rPh sb="4" eb="6">
      <t>シンドウ</t>
    </rPh>
    <rPh sb="6" eb="7">
      <t>アタイ</t>
    </rPh>
    <phoneticPr fontId="3"/>
  </si>
  <si>
    <t>-</t>
    <phoneticPr fontId="3"/>
  </si>
  <si>
    <t>(円/㎥・店)</t>
    <rPh sb="1" eb="2">
      <t>エン</t>
    </rPh>
    <rPh sb="5" eb="6">
      <t>ミセ</t>
    </rPh>
    <phoneticPr fontId="3"/>
  </si>
  <si>
    <t>(㎥/店・日)</t>
    <rPh sb="3" eb="4">
      <t>ミセ</t>
    </rPh>
    <rPh sb="5" eb="6">
      <t>ヒ</t>
    </rPh>
    <phoneticPr fontId="3"/>
  </si>
  <si>
    <t>(円/回・事業所)</t>
    <rPh sb="1" eb="2">
      <t>エン</t>
    </rPh>
    <rPh sb="3" eb="4">
      <t>カイ</t>
    </rPh>
    <rPh sb="5" eb="8">
      <t>ジギョウショ</t>
    </rPh>
    <phoneticPr fontId="3"/>
  </si>
  <si>
    <t>(事業所)</t>
    <rPh sb="1" eb="4">
      <t>ジギョウショ</t>
    </rPh>
    <phoneticPr fontId="3"/>
  </si>
  <si>
    <t>表2-23　　　　（P37)</t>
    <rPh sb="0" eb="1">
      <t>ヒョウ</t>
    </rPh>
    <phoneticPr fontId="3"/>
  </si>
  <si>
    <t>式（20）　　　　　　　　（P36）</t>
    <rPh sb="0" eb="1">
      <t>シキ</t>
    </rPh>
    <phoneticPr fontId="3"/>
  </si>
  <si>
    <t>式（21）　　　　　　　　(P36)</t>
    <rPh sb="0" eb="1">
      <t>シキ</t>
    </rPh>
    <phoneticPr fontId="3"/>
  </si>
  <si>
    <t>搬出入変更
原単位</t>
    <rPh sb="0" eb="3">
      <t>ハンシュツニュウ</t>
    </rPh>
    <rPh sb="3" eb="5">
      <t>ヘンコウ</t>
    </rPh>
    <rPh sb="6" eb="9">
      <t>ゲンタンイ</t>
    </rPh>
    <phoneticPr fontId="3"/>
  </si>
  <si>
    <t>式(19)　　　　　　　　　（P36）</t>
    <rPh sb="0" eb="1">
      <t>シキ</t>
    </rPh>
    <phoneticPr fontId="3"/>
  </si>
  <si>
    <t>表2-5　　　　（P22）</t>
    <rPh sb="0" eb="1">
      <t>ヒョウ</t>
    </rPh>
    <phoneticPr fontId="3"/>
  </si>
  <si>
    <t>式（４）、（５）　　　　　　(P20）</t>
    <rPh sb="0" eb="1">
      <t>シキ</t>
    </rPh>
    <phoneticPr fontId="3"/>
  </si>
  <si>
    <t>表2-4　　　　　　　　　　　　　　　　　　(P21)</t>
    <rPh sb="0" eb="1">
      <t>ヒョウ</t>
    </rPh>
    <phoneticPr fontId="3"/>
  </si>
  <si>
    <t>表2-2　　　　　　　　　　　　(P20)</t>
    <rPh sb="0" eb="1">
      <t>ヒョウ</t>
    </rPh>
    <phoneticPr fontId="3"/>
  </si>
  <si>
    <t>式（４）、（５）　　　　　(P20）</t>
    <rPh sb="0" eb="1">
      <t>シキ</t>
    </rPh>
    <phoneticPr fontId="3"/>
  </si>
  <si>
    <t>式（４）、（５）　　　　　　　　(P20）</t>
    <rPh sb="0" eb="1">
      <t>シキ</t>
    </rPh>
    <phoneticPr fontId="3"/>
  </si>
  <si>
    <t>式（４）、（５）　　　　　　　　　　(P20）</t>
    <rPh sb="0" eb="1">
      <t>シキ</t>
    </rPh>
    <phoneticPr fontId="3"/>
  </si>
  <si>
    <t>リンク　　　　長</t>
    <rPh sb="7" eb="8">
      <t>チョウ</t>
    </rPh>
    <phoneticPr fontId="3"/>
  </si>
  <si>
    <t>⑭</t>
    <phoneticPr fontId="3"/>
  </si>
  <si>
    <t>－</t>
    <phoneticPr fontId="3"/>
  </si>
  <si>
    <t>表2-6　　　　　　　　　　　　　　　　　　　　　　　　　　　　　（DID、4車線以上、分離帯無）（P２３)</t>
    <rPh sb="0" eb="1">
      <t>ヒョウ</t>
    </rPh>
    <rPh sb="39" eb="41">
      <t>シャセン</t>
    </rPh>
    <rPh sb="41" eb="43">
      <t>イジョウ</t>
    </rPh>
    <rPh sb="44" eb="47">
      <t>ブンリタイ</t>
    </rPh>
    <rPh sb="47" eb="48">
      <t>ナシ</t>
    </rPh>
    <phoneticPr fontId="3"/>
  </si>
  <si>
    <t>（円／工事）</t>
    <rPh sb="1" eb="2">
      <t>エン</t>
    </rPh>
    <rPh sb="3" eb="5">
      <t>コウジ</t>
    </rPh>
    <phoneticPr fontId="3"/>
  </si>
  <si>
    <t>(円/dB･人･日)</t>
    <rPh sb="1" eb="2">
      <t>エン</t>
    </rPh>
    <rPh sb="6" eb="7">
      <t>ニン</t>
    </rPh>
    <rPh sb="8" eb="9">
      <t>ニチ</t>
    </rPh>
    <phoneticPr fontId="3"/>
  </si>
  <si>
    <t>表2-4　　（P21）</t>
    <rPh sb="0" eb="1">
      <t>ヒョウ</t>
    </rPh>
    <phoneticPr fontId="3"/>
  </si>
  <si>
    <t>④</t>
    <phoneticPr fontId="3"/>
  </si>
  <si>
    <t>⑥</t>
    <phoneticPr fontId="3"/>
  </si>
  <si>
    <t>⑪</t>
    <phoneticPr fontId="3"/>
  </si>
  <si>
    <t>⑫</t>
    <phoneticPr fontId="3"/>
  </si>
  <si>
    <t>⑭</t>
    <phoneticPr fontId="3"/>
  </si>
  <si>
    <t>健康被害
増分費用計</t>
    <rPh sb="0" eb="2">
      <t>ケンコウ</t>
    </rPh>
    <rPh sb="2" eb="4">
      <t>ヒガイ</t>
    </rPh>
    <rPh sb="5" eb="7">
      <t>ゾウブン</t>
    </rPh>
    <rPh sb="7" eb="9">
      <t>ヒヨウ</t>
    </rPh>
    <rPh sb="9" eb="10">
      <t>ケイ</t>
    </rPh>
    <phoneticPr fontId="3"/>
  </si>
  <si>
    <t>⑮</t>
    <phoneticPr fontId="3"/>
  </si>
  <si>
    <t>⑰</t>
    <phoneticPr fontId="3"/>
  </si>
  <si>
    <t>⑱</t>
    <phoneticPr fontId="3"/>
  </si>
  <si>
    <t>規制　　　　日数</t>
    <rPh sb="0" eb="2">
      <t>キセイ</t>
    </rPh>
    <rPh sb="6" eb="8">
      <t>ニッスウ</t>
    </rPh>
    <phoneticPr fontId="3"/>
  </si>
  <si>
    <t>(㎥/事業所・日)</t>
    <rPh sb="3" eb="6">
      <t>ジギョウショ</t>
    </rPh>
    <rPh sb="7" eb="8">
      <t>ヒ</t>
    </rPh>
    <phoneticPr fontId="3"/>
  </si>
  <si>
    <t>区分</t>
    <rPh sb="0" eb="2">
      <t>クブン</t>
    </rPh>
    <phoneticPr fontId="3"/>
  </si>
  <si>
    <t>表2-2　　　　　（P20）</t>
    <rPh sb="0" eb="1">
      <t>ヒョウ</t>
    </rPh>
    <phoneticPr fontId="3"/>
  </si>
  <si>
    <t>3.5.4　停電・断水等に関する外部費用（停電・断水増分）</t>
    <rPh sb="6" eb="8">
      <t>テイデン</t>
    </rPh>
    <rPh sb="9" eb="11">
      <t>ダンスイ</t>
    </rPh>
    <rPh sb="11" eb="12">
      <t>トウ</t>
    </rPh>
    <rPh sb="13" eb="14">
      <t>カン</t>
    </rPh>
    <rPh sb="16" eb="18">
      <t>ガイブ</t>
    </rPh>
    <rPh sb="18" eb="20">
      <t>ヒヨウ</t>
    </rPh>
    <rPh sb="21" eb="23">
      <t>テイデン</t>
    </rPh>
    <rPh sb="24" eb="26">
      <t>ダンスイ</t>
    </rPh>
    <rPh sb="26" eb="28">
      <t>ゾウブン</t>
    </rPh>
    <phoneticPr fontId="3"/>
  </si>
  <si>
    <t>3.5.6　沿道商業・事業活動に関する外部費用　　　　　　　　　　　　　　　　　　　　（搬出入変更増分）</t>
    <rPh sb="6" eb="8">
      <t>エンドウ</t>
    </rPh>
    <rPh sb="8" eb="10">
      <t>ショウギョウ</t>
    </rPh>
    <rPh sb="11" eb="13">
      <t>ジギョウ</t>
    </rPh>
    <rPh sb="13" eb="15">
      <t>カツドウ</t>
    </rPh>
    <rPh sb="16" eb="17">
      <t>カン</t>
    </rPh>
    <rPh sb="19" eb="21">
      <t>ガイブ</t>
    </rPh>
    <rPh sb="21" eb="23">
      <t>ヒヨウ</t>
    </rPh>
    <rPh sb="44" eb="47">
      <t>ハンシュツニュウ</t>
    </rPh>
    <rPh sb="47" eb="49">
      <t>ヘンコウ</t>
    </rPh>
    <rPh sb="49" eb="51">
      <t>ゾウブン</t>
    </rPh>
    <phoneticPr fontId="3"/>
  </si>
  <si>
    <t>※（注）</t>
    <rPh sb="2" eb="3">
      <t>チュウ</t>
    </rPh>
    <phoneticPr fontId="3"/>
  </si>
  <si>
    <t>人口密度</t>
    <rPh sb="0" eb="2">
      <t>ジンコウ</t>
    </rPh>
    <rPh sb="2" eb="4">
      <t>ミツド</t>
    </rPh>
    <phoneticPr fontId="3"/>
  </si>
  <si>
    <t>(円/dB・人・日)</t>
    <rPh sb="1" eb="2">
      <t>エン</t>
    </rPh>
    <rPh sb="6" eb="7">
      <t>ニン</t>
    </rPh>
    <rPh sb="8" eb="9">
      <t>ニチ</t>
    </rPh>
    <phoneticPr fontId="3"/>
  </si>
  <si>
    <t>工事　　　　　　　　　騒音原単位</t>
    <rPh sb="0" eb="2">
      <t>コウジ</t>
    </rPh>
    <rPh sb="11" eb="13">
      <t>ソウオン</t>
    </rPh>
    <rPh sb="13" eb="16">
      <t>ゲンタンイ</t>
    </rPh>
    <phoneticPr fontId="3"/>
  </si>
  <si>
    <t>⑥</t>
    <phoneticPr fontId="3"/>
  </si>
  <si>
    <t>暗         騒音値</t>
    <rPh sb="0" eb="1">
      <t>アン</t>
    </rPh>
    <rPh sb="10" eb="12">
      <t>ソウオン</t>
    </rPh>
    <rPh sb="12" eb="13">
      <t>アタイ</t>
    </rPh>
    <phoneticPr fontId="3"/>
  </si>
  <si>
    <t>（人）</t>
    <rPh sb="1" eb="2">
      <t>ニン</t>
    </rPh>
    <phoneticPr fontId="3"/>
  </si>
  <si>
    <t>工事騒音　　　　　　　　　　原単位</t>
    <rPh sb="0" eb="2">
      <t>コウジ</t>
    </rPh>
    <rPh sb="2" eb="4">
      <t>ソウオン</t>
    </rPh>
    <rPh sb="14" eb="17">
      <t>ゲンタンイ</t>
    </rPh>
    <phoneticPr fontId="3"/>
  </si>
  <si>
    <t>暗            騒音値</t>
    <rPh sb="0" eb="1">
      <t>アン</t>
    </rPh>
    <rPh sb="13" eb="15">
      <t>ソウオン</t>
    </rPh>
    <rPh sb="15" eb="16">
      <t>アタイ</t>
    </rPh>
    <phoneticPr fontId="3"/>
  </si>
  <si>
    <t>暗　　　　　　　　　　　　　騒音値</t>
    <rPh sb="0" eb="1">
      <t>アン</t>
    </rPh>
    <rPh sb="14" eb="16">
      <t>ソウオン</t>
    </rPh>
    <rPh sb="16" eb="17">
      <t>アタイ</t>
    </rPh>
    <phoneticPr fontId="3"/>
  </si>
  <si>
    <t>暗　　　　　　　振動値</t>
    <rPh sb="0" eb="1">
      <t>アン</t>
    </rPh>
    <rPh sb="8" eb="10">
      <t>シンドウ</t>
    </rPh>
    <rPh sb="10" eb="11">
      <t>アタイ</t>
    </rPh>
    <phoneticPr fontId="3"/>
  </si>
  <si>
    <t>⑥</t>
    <phoneticPr fontId="3"/>
  </si>
  <si>
    <t>影響
就労者人数</t>
    <rPh sb="0" eb="2">
      <t>エイキョウ</t>
    </rPh>
    <rPh sb="3" eb="5">
      <t>シュウロウ</t>
    </rPh>
    <rPh sb="5" eb="6">
      <t>シャ</t>
    </rPh>
    <rPh sb="6" eb="8">
      <t>ニンズウ</t>
    </rPh>
    <phoneticPr fontId="3"/>
  </si>
  <si>
    <t>影響　　　　　　来客者人数</t>
    <rPh sb="0" eb="2">
      <t>エイキョウ</t>
    </rPh>
    <rPh sb="8" eb="10">
      <t>ライキャク</t>
    </rPh>
    <rPh sb="10" eb="11">
      <t>モノ</t>
    </rPh>
    <rPh sb="11" eb="13">
      <t>ニンズウ</t>
    </rPh>
    <phoneticPr fontId="3"/>
  </si>
  <si>
    <t>影響　　　　　　　　　　　　　　　　就労者数</t>
    <rPh sb="0" eb="2">
      <t>エイキョウ</t>
    </rPh>
    <rPh sb="18" eb="21">
      <t>シュウロウシャ</t>
    </rPh>
    <rPh sb="21" eb="22">
      <t>カズ</t>
    </rPh>
    <phoneticPr fontId="3"/>
  </si>
  <si>
    <t>(人）</t>
    <rPh sb="1" eb="2">
      <t>ニン</t>
    </rPh>
    <phoneticPr fontId="3"/>
  </si>
  <si>
    <t>影響　　　　　　人口密度</t>
    <rPh sb="0" eb="2">
      <t>エイキョウ</t>
    </rPh>
    <rPh sb="8" eb="10">
      <t>ジンコウ</t>
    </rPh>
    <rPh sb="10" eb="12">
      <t>ミツド</t>
    </rPh>
    <phoneticPr fontId="3"/>
  </si>
  <si>
    <t>影響　　　　　　　来客者数</t>
    <rPh sb="0" eb="2">
      <t>エイキョウ</t>
    </rPh>
    <rPh sb="9" eb="11">
      <t>ライキャク</t>
    </rPh>
    <rPh sb="11" eb="12">
      <t>シャ</t>
    </rPh>
    <rPh sb="12" eb="13">
      <t>スウ</t>
    </rPh>
    <phoneticPr fontId="3"/>
  </si>
  <si>
    <t>表2-4　　　　（P21）</t>
    <rPh sb="0" eb="1">
      <t>ヒョウ</t>
    </rPh>
    <phoneticPr fontId="3"/>
  </si>
  <si>
    <t>OD
1→3</t>
    <phoneticPr fontId="3"/>
  </si>
  <si>
    <t>OD
1→5</t>
    <phoneticPr fontId="3"/>
  </si>
  <si>
    <t>OD
3→1</t>
    <phoneticPr fontId="3"/>
  </si>
  <si>
    <t>OD
4→1</t>
    <phoneticPr fontId="3"/>
  </si>
  <si>
    <t>OD
4→3</t>
    <phoneticPr fontId="3"/>
  </si>
  <si>
    <t>3.3　車両交通に関する外部費用</t>
    <rPh sb="4" eb="6">
      <t>シャリョウ</t>
    </rPh>
    <rPh sb="6" eb="8">
      <t>コウツウ</t>
    </rPh>
    <rPh sb="9" eb="10">
      <t>カン</t>
    </rPh>
    <rPh sb="12" eb="14">
      <t>ガイブ</t>
    </rPh>
    <rPh sb="14" eb="16">
      <t>ヒヨウ</t>
    </rPh>
    <phoneticPr fontId="5"/>
  </si>
  <si>
    <t>迂回　　　　　　　交通量</t>
    <rPh sb="0" eb="2">
      <t>ウカイ</t>
    </rPh>
    <rPh sb="9" eb="11">
      <t>コウツウ</t>
    </rPh>
    <rPh sb="11" eb="12">
      <t>リョウ</t>
    </rPh>
    <phoneticPr fontId="3"/>
  </si>
  <si>
    <t>工事中
騒音値</t>
    <rPh sb="0" eb="2">
      <t>コウジ</t>
    </rPh>
    <rPh sb="2" eb="3">
      <t>チュウ</t>
    </rPh>
    <rPh sb="4" eb="6">
      <t>ソウオン</t>
    </rPh>
    <rPh sb="6" eb="7">
      <t>アタイ</t>
    </rPh>
    <phoneticPr fontId="3"/>
  </si>
  <si>
    <t>工事中　　　　振動値</t>
    <rPh sb="0" eb="3">
      <t>コウジチュウ</t>
    </rPh>
    <rPh sb="7" eb="9">
      <t>シンドウ</t>
    </rPh>
    <rPh sb="9" eb="10">
      <t>アタイ</t>
    </rPh>
    <phoneticPr fontId="3"/>
  </si>
  <si>
    <t>暗　　　　　振動値</t>
    <rPh sb="0" eb="1">
      <t>アン</t>
    </rPh>
    <rPh sb="6" eb="8">
      <t>シンドウ</t>
    </rPh>
    <rPh sb="8" eb="9">
      <t>アタイ</t>
    </rPh>
    <phoneticPr fontId="3"/>
  </si>
  <si>
    <t>(円/世帯・回)</t>
    <rPh sb="1" eb="2">
      <t>エン</t>
    </rPh>
    <rPh sb="3" eb="5">
      <t>セタイ</t>
    </rPh>
    <rPh sb="6" eb="7">
      <t>カイ</t>
    </rPh>
    <phoneticPr fontId="3"/>
  </si>
  <si>
    <t>表－２　地下管渠工事に関する評価マトリクス表</t>
    <rPh sb="0" eb="1">
      <t>ヒョウ</t>
    </rPh>
    <rPh sb="4" eb="6">
      <t>チカ</t>
    </rPh>
    <rPh sb="6" eb="8">
      <t>カンキョ</t>
    </rPh>
    <rPh sb="8" eb="10">
      <t>コウジ</t>
    </rPh>
    <rPh sb="11" eb="12">
      <t>カン</t>
    </rPh>
    <rPh sb="14" eb="16">
      <t>ヒョウカ</t>
    </rPh>
    <rPh sb="21" eb="22">
      <t>ヒョウ</t>
    </rPh>
    <phoneticPr fontId="3"/>
  </si>
  <si>
    <t>表2-4　　　　　　　　　　　　(P21)</t>
    <rPh sb="0" eb="1">
      <t>ヒョウ</t>
    </rPh>
    <phoneticPr fontId="3"/>
  </si>
  <si>
    <t>リンク　　長</t>
    <rPh sb="5" eb="6">
      <t>チョウ</t>
    </rPh>
    <phoneticPr fontId="3"/>
  </si>
  <si>
    <t>式（22）　　　　　　　　　P38</t>
    <rPh sb="0" eb="1">
      <t>シキ</t>
    </rPh>
    <phoneticPr fontId="3"/>
  </si>
  <si>
    <t>式(22）　　　　　　　　P38</t>
    <rPh sb="0" eb="1">
      <t>シキ</t>
    </rPh>
    <phoneticPr fontId="3"/>
  </si>
  <si>
    <t>表2-9　　（P27)</t>
    <rPh sb="0" eb="1">
      <t>ヒョウ</t>
    </rPh>
    <phoneticPr fontId="3"/>
  </si>
  <si>
    <t>表2-11　（P29)</t>
    <rPh sb="0" eb="1">
      <t>ヒョウ</t>
    </rPh>
    <phoneticPr fontId="3"/>
  </si>
  <si>
    <t>式（１１）　　　　　　　　　　　　　（P28）</t>
    <rPh sb="0" eb="1">
      <t>シキ</t>
    </rPh>
    <phoneticPr fontId="3"/>
  </si>
  <si>
    <t>式(14)　　　　　　　　　　　　　　　　　　P(31）</t>
    <rPh sb="0" eb="1">
      <t>シキ</t>
    </rPh>
    <phoneticPr fontId="3"/>
  </si>
  <si>
    <t>表2-13　　　　　　　　P（31）</t>
    <rPh sb="0" eb="1">
      <t>ヒョウ</t>
    </rPh>
    <phoneticPr fontId="3"/>
  </si>
  <si>
    <t>式（１５）　　　　　　　　　　　　（P33)</t>
    <rPh sb="0" eb="1">
      <t>シキ</t>
    </rPh>
    <phoneticPr fontId="3"/>
  </si>
  <si>
    <t>式(１８)　　　　　　　P３5</t>
    <rPh sb="0" eb="1">
      <t>シキ</t>
    </rPh>
    <phoneticPr fontId="3"/>
  </si>
  <si>
    <t>式(18)　　　　　（P35）</t>
    <rPh sb="0" eb="1">
      <t>シキ</t>
    </rPh>
    <phoneticPr fontId="3"/>
  </si>
  <si>
    <t>式(18）　　　P35</t>
    <rPh sb="0" eb="1">
      <t>シキ</t>
    </rPh>
    <phoneticPr fontId="3"/>
  </si>
  <si>
    <t>式（18)　　（P35）</t>
    <rPh sb="0" eb="1">
      <t>シキ</t>
    </rPh>
    <phoneticPr fontId="3"/>
  </si>
  <si>
    <t>表2-23　　（P37）</t>
    <rPh sb="0" eb="1">
      <t>ヒョウ</t>
    </rPh>
    <phoneticPr fontId="3"/>
  </si>
  <si>
    <t>表2-25　　　（P38）</t>
    <rPh sb="0" eb="1">
      <t>ヒョウ</t>
    </rPh>
    <phoneticPr fontId="3"/>
  </si>
  <si>
    <t>表2-25　　　　　（P38)</t>
    <rPh sb="0" eb="1">
      <t>ヒョウ</t>
    </rPh>
    <phoneticPr fontId="3"/>
  </si>
  <si>
    <t>表ｰ4　　　　　　　　　　　　（P60）</t>
    <rPh sb="0" eb="1">
      <t>ヒョウ</t>
    </rPh>
    <phoneticPr fontId="3"/>
  </si>
  <si>
    <t>表-4　　　　　　　(P60)</t>
    <rPh sb="0" eb="1">
      <t>ヒョウ</t>
    </rPh>
    <phoneticPr fontId="3"/>
  </si>
  <si>
    <t>表2-3　　　　　　　　　　　　　　　(P21)</t>
    <rPh sb="0" eb="1">
      <t>ヒョウ</t>
    </rPh>
    <phoneticPr fontId="3"/>
  </si>
  <si>
    <t>表2-3　　　　　　　　　　　(P21)</t>
    <rPh sb="0" eb="1">
      <t>ヒョウ</t>
    </rPh>
    <phoneticPr fontId="3"/>
  </si>
  <si>
    <t>表2-3　　　　　　　　　　　　(P21)</t>
    <rPh sb="0" eb="1">
      <t>ヒョウ</t>
    </rPh>
    <phoneticPr fontId="3"/>
  </si>
  <si>
    <t>表-4　　　（P60)</t>
    <rPh sb="0" eb="1">
      <t>ヒョウ</t>
    </rPh>
    <phoneticPr fontId="3"/>
  </si>
  <si>
    <t>表6-1　　（P63）</t>
    <rPh sb="0" eb="1">
      <t>ヒョウ</t>
    </rPh>
    <phoneticPr fontId="3"/>
  </si>
  <si>
    <t>表2-20　　（P34）</t>
    <rPh sb="0" eb="1">
      <t>ヒョウ</t>
    </rPh>
    <phoneticPr fontId="3"/>
  </si>
  <si>
    <t>式(16)､(17)　　（P34）</t>
    <rPh sb="0" eb="1">
      <t>シキ</t>
    </rPh>
    <phoneticPr fontId="3"/>
  </si>
  <si>
    <t>表2-2　　　（P20）</t>
    <rPh sb="0" eb="1">
      <t>ヒョウ</t>
    </rPh>
    <phoneticPr fontId="3"/>
  </si>
  <si>
    <t>規制箇所</t>
    <rPh sb="0" eb="2">
      <t>キセイ</t>
    </rPh>
    <rPh sb="2" eb="4">
      <t>カショ</t>
    </rPh>
    <phoneticPr fontId="3"/>
  </si>
  <si>
    <t>時間／日</t>
    <rPh sb="0" eb="2">
      <t>ジカン</t>
    </rPh>
    <rPh sb="3" eb="4">
      <t>ヒ</t>
    </rPh>
    <phoneticPr fontId="3"/>
  </si>
  <si>
    <t>規制箇所</t>
    <rPh sb="0" eb="2">
      <t>キセイ</t>
    </rPh>
    <rPh sb="2" eb="4">
      <t>カショ</t>
    </rPh>
    <phoneticPr fontId="3"/>
  </si>
  <si>
    <t>交通流</t>
    <rPh sb="0" eb="2">
      <t>コウツウ</t>
    </rPh>
    <rPh sb="2" eb="3">
      <t>リュウ</t>
    </rPh>
    <phoneticPr fontId="3"/>
  </si>
  <si>
    <t>(m)　　　　　①</t>
    <phoneticPr fontId="3"/>
  </si>
  <si>
    <t>（秒）　　　②</t>
    <rPh sb="1" eb="2">
      <t>ビョウ</t>
    </rPh>
    <phoneticPr fontId="3"/>
  </si>
  <si>
    <t>（台/時）　　　　　　　　　　③</t>
    <rPh sb="1" eb="2">
      <t>ダイ</t>
    </rPh>
    <rPh sb="3" eb="4">
      <t>ジ</t>
    </rPh>
    <phoneticPr fontId="3"/>
  </si>
  <si>
    <t>（秒）　　　　　　　　　　　　　④</t>
    <rPh sb="1" eb="2">
      <t>ビョウ</t>
    </rPh>
    <phoneticPr fontId="3"/>
  </si>
  <si>
    <t>（台/時）　　　　　　　　　　⑤</t>
    <rPh sb="1" eb="2">
      <t>ダイ</t>
    </rPh>
    <rPh sb="3" eb="4">
      <t>ジ</t>
    </rPh>
    <phoneticPr fontId="3"/>
  </si>
  <si>
    <t>（秒）　　　　　②</t>
    <rPh sb="1" eb="2">
      <t>ビョウ</t>
    </rPh>
    <phoneticPr fontId="3"/>
  </si>
  <si>
    <t>（台/時）　　　　　　　　　　　　　⑤</t>
    <rPh sb="1" eb="2">
      <t>ダイ</t>
    </rPh>
    <rPh sb="3" eb="4">
      <t>ジ</t>
    </rPh>
    <phoneticPr fontId="3"/>
  </si>
  <si>
    <t>（台/時）　　　　　　　　　　　　　　　　③</t>
    <rPh sb="1" eb="2">
      <t>ダイ</t>
    </rPh>
    <rPh sb="3" eb="4">
      <t>ジ</t>
    </rPh>
    <phoneticPr fontId="3"/>
  </si>
  <si>
    <t>（台/時）　　　　　　　　　　　　　　　③</t>
    <rPh sb="1" eb="2">
      <t>ダイ</t>
    </rPh>
    <rPh sb="3" eb="4">
      <t>ジ</t>
    </rPh>
    <phoneticPr fontId="3"/>
  </si>
  <si>
    <t>（台/時）　　　　　　　　　　　　　　　　⑤</t>
    <rPh sb="1" eb="2">
      <t>ダイ</t>
    </rPh>
    <rPh sb="3" eb="4">
      <t>ジ</t>
    </rPh>
    <phoneticPr fontId="3"/>
  </si>
  <si>
    <t>④</t>
    <phoneticPr fontId="3"/>
  </si>
  <si>
    <t>⑤</t>
    <phoneticPr fontId="3"/>
  </si>
  <si>
    <t>⑧</t>
    <phoneticPr fontId="3"/>
  </si>
  <si>
    <t>⑨</t>
    <phoneticPr fontId="3"/>
  </si>
  <si>
    <t>⑪</t>
    <phoneticPr fontId="3"/>
  </si>
  <si>
    <t>⑫</t>
    <phoneticPr fontId="3"/>
  </si>
  <si>
    <t>⑭</t>
    <phoneticPr fontId="3"/>
  </si>
  <si>
    <t>⑮</t>
    <phoneticPr fontId="3"/>
  </si>
  <si>
    <t>⑳</t>
    <phoneticPr fontId="3"/>
  </si>
  <si>
    <t>④：※(注）走行速度（km／時）は、表4(P60）の「リンク長／平均時間」により計算する。</t>
    <rPh sb="4" eb="5">
      <t>チュウ</t>
    </rPh>
    <rPh sb="6" eb="8">
      <t>ソウコウ</t>
    </rPh>
    <rPh sb="8" eb="10">
      <t>ソクド</t>
    </rPh>
    <rPh sb="14" eb="15">
      <t>トキ</t>
    </rPh>
    <rPh sb="18" eb="19">
      <t>ヒョウ</t>
    </rPh>
    <rPh sb="30" eb="31">
      <t>チョウ</t>
    </rPh>
    <rPh sb="32" eb="34">
      <t>ヘイキン</t>
    </rPh>
    <rPh sb="34" eb="36">
      <t>ジカン</t>
    </rPh>
    <rPh sb="40" eb="42">
      <t>ケイサン</t>
    </rPh>
    <phoneticPr fontId="3"/>
  </si>
  <si>
    <t>⑲＝①×②×③
×⑰×⑱</t>
    <phoneticPr fontId="3"/>
  </si>
  <si>
    <t>ー</t>
    <phoneticPr fontId="3"/>
  </si>
  <si>
    <t>ー</t>
    <phoneticPr fontId="3"/>
  </si>
  <si>
    <t>④</t>
    <phoneticPr fontId="3"/>
  </si>
  <si>
    <t>※注　　（P63）</t>
    <rPh sb="1" eb="2">
      <t>チュウ</t>
    </rPh>
    <phoneticPr fontId="3"/>
  </si>
  <si>
    <t>⑧</t>
    <phoneticPr fontId="3"/>
  </si>
  <si>
    <t>⑫</t>
    <phoneticPr fontId="3"/>
  </si>
  <si>
    <t>式（４）、（５）　　　　　　　　　　　　　　　　　(P20）</t>
    <rPh sb="0" eb="1">
      <t>シキ</t>
    </rPh>
    <phoneticPr fontId="3"/>
  </si>
  <si>
    <t>式（４）、（５）　　　　　　　　　　　　　　　　　　　　　　(P20）</t>
    <rPh sb="0" eb="1">
      <t>シキ</t>
    </rPh>
    <phoneticPr fontId="3"/>
  </si>
  <si>
    <t>表-３    (P59)</t>
    <rPh sb="0" eb="1">
      <t>ヒョウ</t>
    </rPh>
    <phoneticPr fontId="3"/>
  </si>
  <si>
    <t>式（9）、(10）　　　（P27）</t>
    <rPh sb="0" eb="1">
      <t>シキ</t>
    </rPh>
    <phoneticPr fontId="3"/>
  </si>
  <si>
    <t>区分</t>
    <rPh sb="0" eb="2">
      <t>クブン</t>
    </rPh>
    <phoneticPr fontId="3"/>
  </si>
  <si>
    <t>（％）</t>
    <phoneticPr fontId="3"/>
  </si>
  <si>
    <t>①</t>
    <phoneticPr fontId="3"/>
  </si>
  <si>
    <t>区分</t>
    <rPh sb="0" eb="2">
      <t>クブン</t>
    </rPh>
    <phoneticPr fontId="3"/>
  </si>
  <si>
    <t>ー</t>
    <phoneticPr fontId="3"/>
  </si>
  <si>
    <t>工法</t>
    <rPh sb="0" eb="2">
      <t>コウホウ</t>
    </rPh>
    <phoneticPr fontId="3"/>
  </si>
  <si>
    <t>規制箇所</t>
    <rPh sb="0" eb="2">
      <t>キセイ</t>
    </rPh>
    <rPh sb="2" eb="4">
      <t>カショ</t>
    </rPh>
    <phoneticPr fontId="3"/>
  </si>
  <si>
    <t>表2-10　　　　　　　　　　（P28）</t>
    <rPh sb="0" eb="1">
      <t>ヒョウ</t>
    </rPh>
    <phoneticPr fontId="3"/>
  </si>
  <si>
    <t>(時間／日)</t>
    <rPh sb="1" eb="3">
      <t>ジカン</t>
    </rPh>
    <rPh sb="4" eb="5">
      <t>ヒ</t>
    </rPh>
    <phoneticPr fontId="3"/>
  </si>
  <si>
    <t>(時間/日）</t>
    <rPh sb="1" eb="3">
      <t>ジカン</t>
    </rPh>
    <rPh sb="4" eb="5">
      <t>ヒ</t>
    </rPh>
    <phoneticPr fontId="3"/>
  </si>
  <si>
    <t>(時間/日)</t>
    <rPh sb="1" eb="3">
      <t>ジカン</t>
    </rPh>
    <rPh sb="4" eb="5">
      <t>ヒ</t>
    </rPh>
    <phoneticPr fontId="3"/>
  </si>
  <si>
    <t>表ｰ3　　　(P59)</t>
    <rPh sb="0" eb="1">
      <t>ヒョウ</t>
    </rPh>
    <phoneticPr fontId="3"/>
  </si>
  <si>
    <t>表2-13     　　（P31）</t>
    <rPh sb="0" eb="1">
      <t>ヒョウ</t>
    </rPh>
    <phoneticPr fontId="3"/>
  </si>
  <si>
    <t>工事　　　　　　　　　　　騒音原単位</t>
    <rPh sb="0" eb="2">
      <t>コウジ</t>
    </rPh>
    <rPh sb="13" eb="15">
      <t>ソウオン</t>
    </rPh>
    <rPh sb="15" eb="18">
      <t>ゲンタンイ</t>
    </rPh>
    <phoneticPr fontId="3"/>
  </si>
  <si>
    <t xml:space="preserve"> </t>
    <phoneticPr fontId="3"/>
  </si>
  <si>
    <t>データ・計算式等</t>
    <rPh sb="4" eb="6">
      <t>ケイサン</t>
    </rPh>
    <rPh sb="6" eb="7">
      <t>シキ</t>
    </rPh>
    <rPh sb="7" eb="8">
      <t>ナド</t>
    </rPh>
    <phoneticPr fontId="3"/>
  </si>
  <si>
    <t>表2-13　　　　P(31)</t>
    <rPh sb="0" eb="1">
      <t>ヒョウ</t>
    </rPh>
    <phoneticPr fontId="3"/>
  </si>
  <si>
    <t>　 　　　この事業所面積内の事務所に50人/時の人が9時～5時まで8時間働くと仮定。（50人*8h=400人)</t>
    <rPh sb="7" eb="10">
      <t>ジギョウショ</t>
    </rPh>
    <rPh sb="10" eb="12">
      <t>メンセキ</t>
    </rPh>
    <rPh sb="12" eb="13">
      <t>ナイ</t>
    </rPh>
    <rPh sb="14" eb="16">
      <t>ジム</t>
    </rPh>
    <rPh sb="16" eb="17">
      <t>ショ</t>
    </rPh>
    <rPh sb="20" eb="21">
      <t>ニン</t>
    </rPh>
    <rPh sb="22" eb="23">
      <t>トキ</t>
    </rPh>
    <rPh sb="24" eb="25">
      <t>ヒト</t>
    </rPh>
    <rPh sb="27" eb="28">
      <t>ジ</t>
    </rPh>
    <rPh sb="30" eb="31">
      <t>ジ</t>
    </rPh>
    <rPh sb="34" eb="36">
      <t>ジカン</t>
    </rPh>
    <rPh sb="36" eb="37">
      <t>ハタラ</t>
    </rPh>
    <rPh sb="39" eb="41">
      <t>カテイ</t>
    </rPh>
    <rPh sb="45" eb="46">
      <t>ニン</t>
    </rPh>
    <rPh sb="53" eb="54">
      <t>ニン</t>
    </rPh>
    <phoneticPr fontId="3"/>
  </si>
  <si>
    <t>表2-17　　　　　　　　　　　（P33）</t>
    <rPh sb="0" eb="1">
      <t>ヒョウ</t>
    </rPh>
    <phoneticPr fontId="3"/>
  </si>
  <si>
    <t>工事中　　　　　振動値</t>
    <rPh sb="0" eb="3">
      <t>コウジチュウ</t>
    </rPh>
    <rPh sb="8" eb="10">
      <t>シンドウ</t>
    </rPh>
    <rPh sb="10" eb="11">
      <t>アタイ</t>
    </rPh>
    <phoneticPr fontId="3"/>
  </si>
  <si>
    <t>暗        　　　　 振動値</t>
    <rPh sb="0" eb="1">
      <t>アン</t>
    </rPh>
    <rPh sb="14" eb="16">
      <t>シンドウ</t>
    </rPh>
    <rPh sb="16" eb="17">
      <t>アタイ</t>
    </rPh>
    <phoneticPr fontId="3"/>
  </si>
  <si>
    <t xml:space="preserve">     　 この事業所面積内に50人/時の人が9時～5時まで8時間働くと仮定。（50人*8ｈ＝400人）</t>
    <rPh sb="9" eb="12">
      <t>ジギョウショ</t>
    </rPh>
    <rPh sb="12" eb="14">
      <t>メンセキ</t>
    </rPh>
    <rPh sb="14" eb="15">
      <t>ナイ</t>
    </rPh>
    <rPh sb="18" eb="19">
      <t>ニン</t>
    </rPh>
    <rPh sb="20" eb="21">
      <t>トキ</t>
    </rPh>
    <rPh sb="22" eb="23">
      <t>ヒト</t>
    </rPh>
    <rPh sb="25" eb="26">
      <t>ジ</t>
    </rPh>
    <rPh sb="28" eb="29">
      <t>ジ</t>
    </rPh>
    <rPh sb="32" eb="34">
      <t>ジカン</t>
    </rPh>
    <rPh sb="34" eb="35">
      <t>ハタラ</t>
    </rPh>
    <rPh sb="37" eb="39">
      <t>カテイ</t>
    </rPh>
    <rPh sb="43" eb="44">
      <t>ニン</t>
    </rPh>
    <rPh sb="51" eb="52">
      <t>ニン</t>
    </rPh>
    <phoneticPr fontId="3"/>
  </si>
  <si>
    <t>式（15）　　　　　　　　　　　　（P33)</t>
    <rPh sb="0" eb="1">
      <t>シキ</t>
    </rPh>
    <phoneticPr fontId="3"/>
  </si>
  <si>
    <t>表-3  (P59)</t>
    <rPh sb="0" eb="1">
      <t>ヒョウ</t>
    </rPh>
    <phoneticPr fontId="3"/>
  </si>
  <si>
    <t>交通流</t>
    <rPh sb="0" eb="2">
      <t>コウツウ</t>
    </rPh>
    <rPh sb="2" eb="3">
      <t>リュウ</t>
    </rPh>
    <phoneticPr fontId="3"/>
  </si>
  <si>
    <t>ﾘﾝｸ長</t>
    <rPh sb="3" eb="4">
      <t>チョウ</t>
    </rPh>
    <phoneticPr fontId="3"/>
  </si>
  <si>
    <t>表ｰ3　　（P59)</t>
    <rPh sb="0" eb="1">
      <t>ヒョウ</t>
    </rPh>
    <phoneticPr fontId="3"/>
  </si>
  <si>
    <t>表2-21　　　　　　　　　(P35）</t>
    <rPh sb="0" eb="1">
      <t>ヒョウ</t>
    </rPh>
    <phoneticPr fontId="3"/>
  </si>
  <si>
    <t>表2-22　　　　　（P36)</t>
    <rPh sb="0" eb="1">
      <t>ヒョウ</t>
    </rPh>
    <phoneticPr fontId="3"/>
  </si>
  <si>
    <t>（回/年）</t>
    <rPh sb="1" eb="2">
      <t>カイ</t>
    </rPh>
    <rPh sb="3" eb="4">
      <t>ネン</t>
    </rPh>
    <phoneticPr fontId="3"/>
  </si>
  <si>
    <t>参考2　　　　　　　（P36)</t>
    <rPh sb="0" eb="2">
      <t>サンコウ</t>
    </rPh>
    <phoneticPr fontId="3"/>
  </si>
  <si>
    <t>(回/年）</t>
    <rPh sb="1" eb="2">
      <t>カイ</t>
    </rPh>
    <rPh sb="3" eb="4">
      <t>ネン</t>
    </rPh>
    <phoneticPr fontId="3"/>
  </si>
  <si>
    <t>(日/回)</t>
    <rPh sb="1" eb="2">
      <t>ニチ</t>
    </rPh>
    <rPh sb="3" eb="4">
      <t>カイ</t>
    </rPh>
    <phoneticPr fontId="3"/>
  </si>
  <si>
    <t xml:space="preserve">        「両立坑、両マンホールの同時規制」では、２ヶ所での施工となるため影響商店数を２倍とした。</t>
    <rPh sb="9" eb="10">
      <t>リョウ</t>
    </rPh>
    <rPh sb="10" eb="12">
      <t>タテコウ</t>
    </rPh>
    <rPh sb="13" eb="14">
      <t>リョウ</t>
    </rPh>
    <rPh sb="20" eb="22">
      <t>ドウジ</t>
    </rPh>
    <rPh sb="22" eb="24">
      <t>キセイ</t>
    </rPh>
    <rPh sb="30" eb="31">
      <t>ショ</t>
    </rPh>
    <rPh sb="33" eb="35">
      <t>セコウ</t>
    </rPh>
    <rPh sb="40" eb="42">
      <t>エイキョウ</t>
    </rPh>
    <rPh sb="42" eb="44">
      <t>ショウテン</t>
    </rPh>
    <rPh sb="44" eb="45">
      <t>スウ</t>
    </rPh>
    <rPh sb="47" eb="48">
      <t>バイ</t>
    </rPh>
    <phoneticPr fontId="3"/>
  </si>
  <si>
    <t>（％）</t>
    <phoneticPr fontId="3"/>
  </si>
  <si>
    <t>規制箇所</t>
    <rPh sb="0" eb="2">
      <t>キセイ</t>
    </rPh>
    <rPh sb="2" eb="4">
      <t>カショ</t>
    </rPh>
    <phoneticPr fontId="3"/>
  </si>
  <si>
    <t>　　　　なお、外出距離は１ｋｍと仮定。</t>
    <rPh sb="7" eb="9">
      <t>ガイシュツ</t>
    </rPh>
    <rPh sb="9" eb="11">
      <t>キョリ</t>
    </rPh>
    <rPh sb="16" eb="18">
      <t>カテイ</t>
    </rPh>
    <phoneticPr fontId="3"/>
  </si>
  <si>
    <t>工法　　　区分</t>
    <rPh sb="0" eb="2">
      <t>コウホウ</t>
    </rPh>
    <rPh sb="5" eb="7">
      <t>クブン</t>
    </rPh>
    <phoneticPr fontId="3"/>
  </si>
  <si>
    <t>工法　　　区分</t>
    <rPh sb="0" eb="2">
      <t>コウホウ</t>
    </rPh>
    <rPh sb="5" eb="7">
      <t>クブン</t>
    </rPh>
    <phoneticPr fontId="3"/>
  </si>
  <si>
    <t>工法　　　　　　区分</t>
    <rPh sb="0" eb="2">
      <t>コウホウ</t>
    </rPh>
    <rPh sb="8" eb="10">
      <t>クブン</t>
    </rPh>
    <phoneticPr fontId="3"/>
  </si>
  <si>
    <t>工法　　　　　区分</t>
    <rPh sb="0" eb="2">
      <t>コウホウ</t>
    </rPh>
    <rPh sb="7" eb="9">
      <t>クブン</t>
    </rPh>
    <phoneticPr fontId="3"/>
  </si>
  <si>
    <t>表2-26　　　　（P40)</t>
    <rPh sb="0" eb="1">
      <t>ヒョウ</t>
    </rPh>
    <phoneticPr fontId="9"/>
  </si>
  <si>
    <t>表2-28　　(P42）</t>
    <rPh sb="0" eb="1">
      <t>ヒョウ</t>
    </rPh>
    <phoneticPr fontId="3"/>
  </si>
  <si>
    <t>工法区分</t>
    <rPh sb="0" eb="2">
      <t>コウホウ</t>
    </rPh>
    <rPh sb="2" eb="4">
      <t>クブン</t>
    </rPh>
    <phoneticPr fontId="3"/>
  </si>
  <si>
    <t>非開削工法</t>
    <rPh sb="0" eb="1">
      <t>ヒ</t>
    </rPh>
    <rPh sb="1" eb="3">
      <t>カイサク</t>
    </rPh>
    <rPh sb="3" eb="5">
      <t>コウホウ</t>
    </rPh>
    <phoneticPr fontId="9"/>
  </si>
  <si>
    <t>開削工法</t>
    <rPh sb="0" eb="2">
      <t>カイサク</t>
    </rPh>
    <rPh sb="2" eb="4">
      <t>コウホウ</t>
    </rPh>
    <phoneticPr fontId="9"/>
  </si>
  <si>
    <t>施工　　　　　区間長</t>
    <rPh sb="0" eb="2">
      <t>セコウ</t>
    </rPh>
    <rPh sb="7" eb="9">
      <t>クカン</t>
    </rPh>
    <rPh sb="9" eb="10">
      <t>チョウ</t>
    </rPh>
    <phoneticPr fontId="9"/>
  </si>
  <si>
    <t>⑬＝⑪×⑫</t>
    <phoneticPr fontId="3"/>
  </si>
  <si>
    <t>　　　　　 　開削工法の管径：φ150×4条の開削工事を管径599mm塩ビ管の開削工事とみなす。</t>
    <phoneticPr fontId="3"/>
  </si>
  <si>
    <t>（秒）　　   　②</t>
    <rPh sb="1" eb="2">
      <t>ビョウ</t>
    </rPh>
    <phoneticPr fontId="3"/>
  </si>
  <si>
    <t>所要時間増分費用</t>
    <rPh sb="0" eb="2">
      <t>ショヨウ</t>
    </rPh>
    <rPh sb="2" eb="4">
      <t>ジカン</t>
    </rPh>
    <rPh sb="4" eb="6">
      <t>ゾウブン</t>
    </rPh>
    <rPh sb="6" eb="8">
      <t>ヒヨウ</t>
    </rPh>
    <phoneticPr fontId="3"/>
  </si>
  <si>
    <t>3.3.3-1（P63）～3.3.3-4（P66）における</t>
    <phoneticPr fontId="3"/>
  </si>
  <si>
    <t>※２：迂回距離は０．５kmと仮定。</t>
    <rPh sb="3" eb="5">
      <t>ウカイ</t>
    </rPh>
    <rPh sb="5" eb="7">
      <t>キョリ</t>
    </rPh>
    <rPh sb="14" eb="16">
      <t>カテイ</t>
    </rPh>
    <phoneticPr fontId="3"/>
  </si>
  <si>
    <t>※1：迂回交通量は通常交通量の５％と仮定。</t>
    <rPh sb="3" eb="5">
      <t>ウカイ</t>
    </rPh>
    <rPh sb="5" eb="7">
      <t>コウツウ</t>
    </rPh>
    <rPh sb="7" eb="8">
      <t>リョウ</t>
    </rPh>
    <rPh sb="9" eb="11">
      <t>ツウジョウ</t>
    </rPh>
    <rPh sb="11" eb="13">
      <t>コウツウ</t>
    </rPh>
    <rPh sb="13" eb="14">
      <t>リョウ</t>
    </rPh>
    <rPh sb="18" eb="20">
      <t>カテイ</t>
    </rPh>
    <phoneticPr fontId="3"/>
  </si>
  <si>
    <t>走行時間増分費用</t>
    <rPh sb="0" eb="2">
      <t>ソウコウ</t>
    </rPh>
    <rPh sb="2" eb="4">
      <t>ジカン</t>
    </rPh>
    <rPh sb="4" eb="6">
      <t>ゾウブン</t>
    </rPh>
    <rPh sb="6" eb="8">
      <t>ヒヨウ</t>
    </rPh>
    <phoneticPr fontId="3"/>
  </si>
  <si>
    <t>ー</t>
    <phoneticPr fontId="3"/>
  </si>
  <si>
    <t>非開削工法と開削工法の社会的費用（私的費用+外部費用）の比較（計算結果のまとめ）</t>
    <phoneticPr fontId="3"/>
  </si>
  <si>
    <t>3.3.2　走行時間に関する外部費用（走行時間増分）</t>
    <rPh sb="6" eb="8">
      <t>ソウコウ</t>
    </rPh>
    <rPh sb="8" eb="10">
      <t>ジカン</t>
    </rPh>
    <rPh sb="11" eb="12">
      <t>カン</t>
    </rPh>
    <rPh sb="14" eb="16">
      <t>ガイブ</t>
    </rPh>
    <rPh sb="16" eb="18">
      <t>ヒヨウ</t>
    </rPh>
    <rPh sb="19" eb="21">
      <t>ソウコウ</t>
    </rPh>
    <rPh sb="21" eb="23">
      <t>ジカン</t>
    </rPh>
    <rPh sb="23" eb="25">
      <t>ゾウブン</t>
    </rPh>
    <phoneticPr fontId="5"/>
  </si>
  <si>
    <t>3.5.5　沿道居住者の外出行動に関する外部費用　　　　　　　　　　　　　　　（外出行動変更増分）</t>
    <rPh sb="6" eb="8">
      <t>エンドウ</t>
    </rPh>
    <rPh sb="8" eb="11">
      <t>キョジュウシャ</t>
    </rPh>
    <rPh sb="12" eb="14">
      <t>ガイシュツ</t>
    </rPh>
    <rPh sb="14" eb="16">
      <t>コウドウ</t>
    </rPh>
    <rPh sb="17" eb="18">
      <t>カン</t>
    </rPh>
    <rPh sb="20" eb="22">
      <t>ガイブ</t>
    </rPh>
    <rPh sb="22" eb="24">
      <t>ヒヨウ</t>
    </rPh>
    <rPh sb="40" eb="42">
      <t>ガイシュツ</t>
    </rPh>
    <rPh sb="42" eb="44">
      <t>コウドウ</t>
    </rPh>
    <rPh sb="44" eb="46">
      <t>ヘンコウ</t>
    </rPh>
    <rPh sb="46" eb="48">
      <t>ゾウブン</t>
    </rPh>
    <phoneticPr fontId="5"/>
  </si>
  <si>
    <t>工事外費用</t>
    <rPh sb="0" eb="2">
      <t>コウジ</t>
    </rPh>
    <rPh sb="2" eb="3">
      <t>ガイ</t>
    </rPh>
    <rPh sb="3" eb="5">
      <t>ヒヨウ</t>
    </rPh>
    <phoneticPr fontId="5"/>
  </si>
  <si>
    <t>表-5（3.3.2）　走行時間に関する外部費用（走行時間増分）（非開削工法・開削工法）</t>
    <rPh sb="0" eb="1">
      <t>ヒョウ</t>
    </rPh>
    <rPh sb="11" eb="13">
      <t>ソウコウ</t>
    </rPh>
    <rPh sb="13" eb="15">
      <t>ジカン</t>
    </rPh>
    <rPh sb="16" eb="17">
      <t>カン</t>
    </rPh>
    <rPh sb="19" eb="21">
      <t>ガイブ</t>
    </rPh>
    <rPh sb="21" eb="23">
      <t>ヒヨウ</t>
    </rPh>
    <rPh sb="24" eb="26">
      <t>ソウコウ</t>
    </rPh>
    <rPh sb="26" eb="28">
      <t>ジカン</t>
    </rPh>
    <rPh sb="28" eb="30">
      <t>ゾウブン</t>
    </rPh>
    <rPh sb="32" eb="33">
      <t>ヒ</t>
    </rPh>
    <rPh sb="33" eb="35">
      <t>カイサク</t>
    </rPh>
    <rPh sb="35" eb="37">
      <t>コウホウ</t>
    </rPh>
    <rPh sb="38" eb="40">
      <t>カイサク</t>
    </rPh>
    <rPh sb="40" eb="42">
      <t>コウホウ</t>
    </rPh>
    <phoneticPr fontId="3"/>
  </si>
  <si>
    <t>⑥＝①×②×③×④×⑤</t>
    <phoneticPr fontId="3"/>
  </si>
  <si>
    <t>式(２)､式(３)（Ｐ１９）</t>
    <rPh sb="0" eb="1">
      <t>シキ</t>
    </rPh>
    <rPh sb="5" eb="6">
      <t>シキ</t>
    </rPh>
    <phoneticPr fontId="3"/>
  </si>
  <si>
    <t xml:space="preserve">・ 規制あり平均時間（秒）  </t>
  </si>
  <si>
    <t>・ 規制なし平均時間（秒）</t>
  </si>
  <si>
    <t>③ 遅れ時間（分）＝
（（規制あり平均時間（秒））－（規制なし平均時間（秒））／６０</t>
    <phoneticPr fontId="3"/>
  </si>
  <si>
    <t>リンク
長</t>
    <rPh sb="4" eb="5">
      <t>チョウ</t>
    </rPh>
    <phoneticPr fontId="3"/>
  </si>
  <si>
    <t>㉑</t>
    <phoneticPr fontId="3"/>
  </si>
  <si>
    <t>㉒＝⑳×㉑</t>
    <phoneticPr fontId="3"/>
  </si>
  <si>
    <t>外部費用
（非開削工法）
（規制なし）
（円／工事）
㉓</t>
    <rPh sb="0" eb="2">
      <t>ガイブ</t>
    </rPh>
    <rPh sb="2" eb="4">
      <t>ヒヨウ</t>
    </rPh>
    <rPh sb="6" eb="7">
      <t>ヒ</t>
    </rPh>
    <rPh sb="7" eb="9">
      <t>カイサク</t>
    </rPh>
    <rPh sb="9" eb="11">
      <t>コウホウ</t>
    </rPh>
    <rPh sb="14" eb="16">
      <t>キセイ</t>
    </rPh>
    <rPh sb="21" eb="22">
      <t>エン</t>
    </rPh>
    <rPh sb="23" eb="25">
      <t>コウジ</t>
    </rPh>
    <phoneticPr fontId="3"/>
  </si>
  <si>
    <t>外部費用
（非開削工法）
（規制あり）
（円／工事）
㉓</t>
    <rPh sb="0" eb="2">
      <t>ガイブ</t>
    </rPh>
    <rPh sb="2" eb="4">
      <t>ヒヨウ</t>
    </rPh>
    <rPh sb="6" eb="7">
      <t>ヒ</t>
    </rPh>
    <rPh sb="7" eb="9">
      <t>カイサク</t>
    </rPh>
    <rPh sb="9" eb="11">
      <t>コウホウ</t>
    </rPh>
    <rPh sb="14" eb="16">
      <t>キセイ</t>
    </rPh>
    <rPh sb="21" eb="22">
      <t>エン</t>
    </rPh>
    <rPh sb="23" eb="25">
      <t>コウジ</t>
    </rPh>
    <phoneticPr fontId="3"/>
  </si>
  <si>
    <t>外部費用
（開削工法）
（規制なし）
（円／工事）
㉓</t>
    <rPh sb="0" eb="2">
      <t>ガイブ</t>
    </rPh>
    <rPh sb="2" eb="4">
      <t>ヒヨウ</t>
    </rPh>
    <rPh sb="6" eb="8">
      <t>カイサク</t>
    </rPh>
    <rPh sb="8" eb="10">
      <t>コウホウ</t>
    </rPh>
    <rPh sb="13" eb="15">
      <t>キセイ</t>
    </rPh>
    <rPh sb="20" eb="21">
      <t>エン</t>
    </rPh>
    <rPh sb="22" eb="24">
      <t>コウジ</t>
    </rPh>
    <phoneticPr fontId="3"/>
  </si>
  <si>
    <t>外部費用
（開削工法）
（規制あり）
（円／工事）
㉓</t>
    <rPh sb="0" eb="2">
      <t>ガイブ</t>
    </rPh>
    <rPh sb="2" eb="4">
      <t>ヒヨウ</t>
    </rPh>
    <rPh sb="6" eb="8">
      <t>カイサク</t>
    </rPh>
    <rPh sb="8" eb="10">
      <t>コウホウ</t>
    </rPh>
    <rPh sb="13" eb="15">
      <t>キセイ</t>
    </rPh>
    <rPh sb="20" eb="21">
      <t>エン</t>
    </rPh>
    <rPh sb="22" eb="24">
      <t>コウジ</t>
    </rPh>
    <phoneticPr fontId="3"/>
  </si>
  <si>
    <t>工法
区分</t>
    <rPh sb="0" eb="2">
      <t>コウホウ</t>
    </rPh>
    <rPh sb="3" eb="5">
      <t>クブン</t>
    </rPh>
    <phoneticPr fontId="3"/>
  </si>
  <si>
    <t>表-7（3.3.4）　走行経費に関する外部費用（走行経費増分）（非開削工法・開削工法）</t>
    <rPh sb="0" eb="1">
      <t>ヒョウ</t>
    </rPh>
    <rPh sb="11" eb="13">
      <t>ソウコウ</t>
    </rPh>
    <rPh sb="13" eb="15">
      <t>ケイヒ</t>
    </rPh>
    <rPh sb="16" eb="17">
      <t>カン</t>
    </rPh>
    <rPh sb="19" eb="21">
      <t>ガイブ</t>
    </rPh>
    <rPh sb="21" eb="23">
      <t>ヒヨウ</t>
    </rPh>
    <rPh sb="24" eb="26">
      <t>ソウコウ</t>
    </rPh>
    <rPh sb="26" eb="28">
      <t>ケイヒ</t>
    </rPh>
    <rPh sb="28" eb="30">
      <t>ゾウブン</t>
    </rPh>
    <rPh sb="32" eb="33">
      <t>ヒ</t>
    </rPh>
    <rPh sb="33" eb="35">
      <t>カイサク</t>
    </rPh>
    <rPh sb="35" eb="37">
      <t>コウホウ</t>
    </rPh>
    <rPh sb="38" eb="40">
      <t>カイサク</t>
    </rPh>
    <rPh sb="40" eb="42">
      <t>コウホウ</t>
    </rPh>
    <phoneticPr fontId="3"/>
  </si>
  <si>
    <t>※１ 試算　　　　　　仮定値</t>
    <rPh sb="3" eb="5">
      <t>シサン</t>
    </rPh>
    <rPh sb="11" eb="13">
      <t>カテイ</t>
    </rPh>
    <rPh sb="13" eb="14">
      <t>アタイ</t>
    </rPh>
    <phoneticPr fontId="3"/>
  </si>
  <si>
    <t>※２ 試算　　　　　仮定値</t>
    <rPh sb="3" eb="5">
      <t>シサン</t>
    </rPh>
    <rPh sb="10" eb="12">
      <t>カテイ</t>
    </rPh>
    <rPh sb="12" eb="13">
      <t>アタイ</t>
    </rPh>
    <phoneticPr fontId="3"/>
  </si>
  <si>
    <t>※１ 試算　　　　　　　　　　仮定値</t>
    <rPh sb="3" eb="5">
      <t>シサン</t>
    </rPh>
    <rPh sb="15" eb="17">
      <t>カテイ</t>
    </rPh>
    <rPh sb="17" eb="18">
      <t>アタイ</t>
    </rPh>
    <phoneticPr fontId="3"/>
  </si>
  <si>
    <t>※２ 試算　　　　　　　　　　　　仮定値</t>
    <rPh sb="3" eb="5">
      <t>シサン</t>
    </rPh>
    <rPh sb="17" eb="19">
      <t>カテイ</t>
    </rPh>
    <rPh sb="19" eb="20">
      <t>アタイ</t>
    </rPh>
    <phoneticPr fontId="3"/>
  </si>
  <si>
    <t>※３ 試算　　　　　　　　　　　仮定値</t>
    <rPh sb="3" eb="5">
      <t>シサン</t>
    </rPh>
    <rPh sb="16" eb="18">
      <t>カテイ</t>
    </rPh>
    <rPh sb="18" eb="19">
      <t>アタイ</t>
    </rPh>
    <phoneticPr fontId="3"/>
  </si>
  <si>
    <r>
      <t>※１：</t>
    </r>
    <r>
      <rPr>
        <sz val="11"/>
        <rFont val="ＭＳ Ｐゴシック"/>
        <family val="2"/>
        <charset val="128"/>
        <scheme val="major"/>
      </rPr>
      <t>　迂回交通量は通常交通量の5％と仮定。</t>
    </r>
    <rPh sb="4" eb="6">
      <t>ウカイ</t>
    </rPh>
    <rPh sb="6" eb="8">
      <t>コウツウ</t>
    </rPh>
    <rPh sb="8" eb="9">
      <t>リョウ</t>
    </rPh>
    <rPh sb="10" eb="12">
      <t>ツウジョウ</t>
    </rPh>
    <rPh sb="12" eb="14">
      <t>コウツウ</t>
    </rPh>
    <rPh sb="14" eb="15">
      <t>リョウ</t>
    </rPh>
    <rPh sb="19" eb="21">
      <t>カテイ</t>
    </rPh>
    <phoneticPr fontId="3"/>
  </si>
  <si>
    <r>
      <t>※２：</t>
    </r>
    <r>
      <rPr>
        <sz val="11"/>
        <rFont val="ＭＳ Ｐゴシック"/>
        <family val="2"/>
        <charset val="128"/>
        <scheme val="major"/>
      </rPr>
      <t>　迂回距離は0.5kmと仮定。</t>
    </r>
    <rPh sb="4" eb="6">
      <t>ウカイ</t>
    </rPh>
    <rPh sb="6" eb="8">
      <t>キョリ</t>
    </rPh>
    <rPh sb="15" eb="17">
      <t>カテイ</t>
    </rPh>
    <phoneticPr fontId="3"/>
  </si>
  <si>
    <r>
      <t>※３：</t>
    </r>
    <r>
      <rPr>
        <sz val="11"/>
        <rFont val="ＭＳ Ｐゴシック"/>
        <family val="2"/>
        <charset val="128"/>
        <scheme val="major"/>
      </rPr>
      <t>　迂回することにより通過する</t>
    </r>
    <r>
      <rPr>
        <u/>
        <sz val="11"/>
        <rFont val="ＭＳ Ｐゴシック"/>
        <family val="3"/>
        <charset val="128"/>
        <scheme val="major"/>
      </rPr>
      <t>交差点が2か所増える</t>
    </r>
    <r>
      <rPr>
        <sz val="11"/>
        <rFont val="ＭＳ Ｐゴシック"/>
        <family val="2"/>
        <charset val="128"/>
        <scheme val="major"/>
      </rPr>
      <t>ものと仮定。</t>
    </r>
    <rPh sb="4" eb="6">
      <t>ウカイ</t>
    </rPh>
    <rPh sb="13" eb="15">
      <t>ツウカ</t>
    </rPh>
    <rPh sb="17" eb="20">
      <t>コウサテン</t>
    </rPh>
    <rPh sb="23" eb="24">
      <t>ショ</t>
    </rPh>
    <rPh sb="24" eb="25">
      <t>フ</t>
    </rPh>
    <rPh sb="30" eb="32">
      <t>カテイ</t>
    </rPh>
    <phoneticPr fontId="3"/>
  </si>
  <si>
    <t>表-8（3.3.5）　交通事故に関する外部費用（事故確率増分）（非開削工法・開削工法）</t>
    <rPh sb="0" eb="1">
      <t>ヒョウ</t>
    </rPh>
    <rPh sb="11" eb="13">
      <t>コウツウ</t>
    </rPh>
    <rPh sb="13" eb="15">
      <t>ジコ</t>
    </rPh>
    <rPh sb="16" eb="17">
      <t>カン</t>
    </rPh>
    <rPh sb="19" eb="21">
      <t>ガイブ</t>
    </rPh>
    <rPh sb="21" eb="23">
      <t>ヒヨウ</t>
    </rPh>
    <rPh sb="24" eb="26">
      <t>ジコ</t>
    </rPh>
    <rPh sb="26" eb="28">
      <t>カクリツ</t>
    </rPh>
    <rPh sb="28" eb="30">
      <t>ゾウブン</t>
    </rPh>
    <rPh sb="32" eb="33">
      <t>ヒ</t>
    </rPh>
    <rPh sb="33" eb="35">
      <t>カイサク</t>
    </rPh>
    <rPh sb="35" eb="37">
      <t>コウホウ</t>
    </rPh>
    <rPh sb="38" eb="40">
      <t>カイサク</t>
    </rPh>
    <rPh sb="40" eb="42">
      <t>コウホウ</t>
    </rPh>
    <phoneticPr fontId="3"/>
  </si>
  <si>
    <t>（円/工事）</t>
    <rPh sb="1" eb="2">
      <t>エン</t>
    </rPh>
    <rPh sb="3" eb="5">
      <t>コウジ</t>
    </rPh>
    <phoneticPr fontId="3"/>
  </si>
  <si>
    <t>(円/工事）</t>
    <rPh sb="1" eb="2">
      <t>エン</t>
    </rPh>
    <rPh sb="3" eb="5">
      <t>コウジ</t>
    </rPh>
    <phoneticPr fontId="3"/>
  </si>
  <si>
    <t>※１　試算　　　　　　　　　　　　　仮定値</t>
    <rPh sb="3" eb="5">
      <t>シサン</t>
    </rPh>
    <rPh sb="18" eb="20">
      <t>カテイ</t>
    </rPh>
    <rPh sb="20" eb="21">
      <t>アタイ</t>
    </rPh>
    <phoneticPr fontId="3"/>
  </si>
  <si>
    <t>※２　試算　　　　　　　　　　　　仮定値</t>
    <rPh sb="3" eb="5">
      <t>シサン</t>
    </rPh>
    <rPh sb="17" eb="19">
      <t>カテイ</t>
    </rPh>
    <rPh sb="19" eb="20">
      <t>アタイ</t>
    </rPh>
    <phoneticPr fontId="3"/>
  </si>
  <si>
    <t>※３　試算　　　　　　　　　　　仮定値</t>
    <rPh sb="3" eb="5">
      <t>シサン</t>
    </rPh>
    <rPh sb="16" eb="18">
      <t>カテイ</t>
    </rPh>
    <rPh sb="18" eb="19">
      <t>アタイ</t>
    </rPh>
    <phoneticPr fontId="3"/>
  </si>
  <si>
    <t>※１：　歩行者数１０人／時間、迂回自転車数５台／時間と仮定。</t>
    <rPh sb="4" eb="7">
      <t>ホコウシャ</t>
    </rPh>
    <rPh sb="7" eb="8">
      <t>カズ</t>
    </rPh>
    <rPh sb="10" eb="11">
      <t>ニン</t>
    </rPh>
    <rPh sb="12" eb="14">
      <t>ジカン</t>
    </rPh>
    <rPh sb="15" eb="17">
      <t>ウカイ</t>
    </rPh>
    <rPh sb="17" eb="20">
      <t>ジテンシャ</t>
    </rPh>
    <rPh sb="20" eb="21">
      <t>カズ</t>
    </rPh>
    <rPh sb="22" eb="23">
      <t>ダイ</t>
    </rPh>
    <rPh sb="24" eb="26">
      <t>ジカン</t>
    </rPh>
    <rPh sb="27" eb="29">
      <t>カテイ</t>
    </rPh>
    <phoneticPr fontId="3"/>
  </si>
  <si>
    <t>※２：　迂回率は７．５％と仮定。</t>
    <rPh sb="4" eb="6">
      <t>ウカイ</t>
    </rPh>
    <rPh sb="6" eb="7">
      <t>リツ</t>
    </rPh>
    <rPh sb="13" eb="15">
      <t>カテイ</t>
    </rPh>
    <phoneticPr fontId="3"/>
  </si>
  <si>
    <t>※３：　迂回距離は５０ｍと仮定。</t>
    <rPh sb="4" eb="6">
      <t>ウカイ</t>
    </rPh>
    <rPh sb="6" eb="8">
      <t>キョリ</t>
    </rPh>
    <rPh sb="13" eb="15">
      <t>カテイ</t>
    </rPh>
    <phoneticPr fontId="3"/>
  </si>
  <si>
    <t>表-9（3.4.1）　歩行者・自転車の所要時間に関する外部費用（所要時間増分）(非開削工法・開削工法）</t>
    <rPh sb="0" eb="1">
      <t>ヒョウ</t>
    </rPh>
    <phoneticPr fontId="3"/>
  </si>
  <si>
    <t>※１　試算　　　　　　　仮定値</t>
    <rPh sb="3" eb="5">
      <t>シサン</t>
    </rPh>
    <rPh sb="12" eb="14">
      <t>カテイ</t>
    </rPh>
    <rPh sb="14" eb="15">
      <t>アタイ</t>
    </rPh>
    <phoneticPr fontId="3"/>
  </si>
  <si>
    <t>※１：　迂回距離は５０ｍと仮定。</t>
    <rPh sb="4" eb="6">
      <t>ウカイ</t>
    </rPh>
    <rPh sb="6" eb="8">
      <t>キョリ</t>
    </rPh>
    <rPh sb="13" eb="15">
      <t>カテイ</t>
    </rPh>
    <phoneticPr fontId="3"/>
  </si>
  <si>
    <t>表-10（3.4.2）　歩行者・自転車の交通事故に関する外部費用（事故確率増分）(非開削工法・開削工法）</t>
    <rPh sb="0" eb="1">
      <t>ヒョウ</t>
    </rPh>
    <phoneticPr fontId="3"/>
  </si>
  <si>
    <t>表11-1（3.5.1-1）　沿道居住者の工事騒音に関する外部費用（工事騒音増分）（非開削工法・開削工法）</t>
    <rPh sb="0" eb="1">
      <t>ヒョウ</t>
    </rPh>
    <phoneticPr fontId="3"/>
  </si>
  <si>
    <r>
      <t>（人/ｋｍ</t>
    </r>
    <r>
      <rPr>
        <vertAlign val="superscript"/>
        <sz val="10"/>
        <rFont val="ＭＳ Ｐゴシック"/>
        <family val="3"/>
        <charset val="128"/>
        <scheme val="major"/>
      </rPr>
      <t>2</t>
    </r>
    <r>
      <rPr>
        <sz val="10"/>
        <rFont val="ＭＳ Ｐゴシック"/>
        <family val="3"/>
        <charset val="128"/>
        <scheme val="major"/>
      </rPr>
      <t>）</t>
    </r>
    <rPh sb="1" eb="2">
      <t>ニン</t>
    </rPh>
    <phoneticPr fontId="3"/>
  </si>
  <si>
    <t>※１　試算　　　　　　　　仮定値</t>
    <rPh sb="3" eb="5">
      <t>シサン</t>
    </rPh>
    <rPh sb="13" eb="15">
      <t>カテイ</t>
    </rPh>
    <rPh sb="15" eb="16">
      <t>アタイ</t>
    </rPh>
    <phoneticPr fontId="3"/>
  </si>
  <si>
    <t>※２　試算　　　　　　　　仮定値</t>
    <rPh sb="3" eb="5">
      <t>シサン</t>
    </rPh>
    <rPh sb="13" eb="15">
      <t>カテイ</t>
    </rPh>
    <rPh sb="15" eb="16">
      <t>アタイ</t>
    </rPh>
    <phoneticPr fontId="3"/>
  </si>
  <si>
    <t>※３  試算　　　　　　　　仮定値</t>
    <rPh sb="4" eb="6">
      <t>シサン</t>
    </rPh>
    <rPh sb="14" eb="16">
      <t>カテイ</t>
    </rPh>
    <rPh sb="16" eb="17">
      <t>アタイ</t>
    </rPh>
    <phoneticPr fontId="3"/>
  </si>
  <si>
    <t>※４  試算　　　　　　仮定値</t>
    <rPh sb="4" eb="6">
      <t>シサン</t>
    </rPh>
    <rPh sb="12" eb="14">
      <t>カテイ</t>
    </rPh>
    <rPh sb="14" eb="15">
      <t>アタイ</t>
    </rPh>
    <phoneticPr fontId="3"/>
  </si>
  <si>
    <t>※1、※２：　工事前の騒音値（暗騒音値）を５０dB、工事中の騒音値を６５dBと仮定。</t>
    <rPh sb="7" eb="9">
      <t>コウジ</t>
    </rPh>
    <rPh sb="9" eb="10">
      <t>マエ</t>
    </rPh>
    <rPh sb="11" eb="13">
      <t>ソウオン</t>
    </rPh>
    <rPh sb="13" eb="14">
      <t>アタイ</t>
    </rPh>
    <rPh sb="15" eb="16">
      <t>アン</t>
    </rPh>
    <rPh sb="16" eb="18">
      <t>ソウオン</t>
    </rPh>
    <rPh sb="18" eb="19">
      <t>アタイ</t>
    </rPh>
    <rPh sb="26" eb="29">
      <t>コウジチュウ</t>
    </rPh>
    <rPh sb="30" eb="32">
      <t>ソウオン</t>
    </rPh>
    <rPh sb="32" eb="33">
      <t>アタイ</t>
    </rPh>
    <rPh sb="39" eb="41">
      <t>カテイ</t>
    </rPh>
    <phoneticPr fontId="3"/>
  </si>
  <si>
    <t>※３：　影響居住地面積は施工中心点より半径50m（7,850㎡）の円形と仮定。</t>
    <rPh sb="4" eb="6">
      <t>エイキョウ</t>
    </rPh>
    <rPh sb="6" eb="9">
      <t>キョジュウチ</t>
    </rPh>
    <rPh sb="9" eb="11">
      <t>メンセキ</t>
    </rPh>
    <rPh sb="12" eb="14">
      <t>セコウ</t>
    </rPh>
    <rPh sb="14" eb="16">
      <t>チュウシン</t>
    </rPh>
    <rPh sb="16" eb="17">
      <t>テン</t>
    </rPh>
    <rPh sb="19" eb="21">
      <t>ハンケイ</t>
    </rPh>
    <rPh sb="33" eb="35">
      <t>エンケイ</t>
    </rPh>
    <rPh sb="36" eb="38">
      <t>カテイ</t>
    </rPh>
    <phoneticPr fontId="3"/>
  </si>
  <si>
    <t>　　　　「両立坑、両マンホールの同時規制」は2か所での施工となるため影響居住地面積を2倍とした。</t>
    <rPh sb="5" eb="6">
      <t>リョウ</t>
    </rPh>
    <rPh sb="6" eb="7">
      <t>タ</t>
    </rPh>
    <rPh sb="7" eb="8">
      <t>コウ</t>
    </rPh>
    <rPh sb="9" eb="10">
      <t>リョウ</t>
    </rPh>
    <rPh sb="16" eb="18">
      <t>ドウジ</t>
    </rPh>
    <rPh sb="18" eb="20">
      <t>キセイ</t>
    </rPh>
    <rPh sb="24" eb="25">
      <t>ショ</t>
    </rPh>
    <rPh sb="27" eb="29">
      <t>セコウ</t>
    </rPh>
    <rPh sb="34" eb="36">
      <t>エイキョウ</t>
    </rPh>
    <rPh sb="36" eb="39">
      <t>キョジュウチ</t>
    </rPh>
    <rPh sb="39" eb="41">
      <t>メンセキ</t>
    </rPh>
    <rPh sb="43" eb="44">
      <t>バイ</t>
    </rPh>
    <phoneticPr fontId="3"/>
  </si>
  <si>
    <t>※４：　人口密度は、1ｋ㎡（１，０００，０００㎡）当り４，０００人と仮定。</t>
    <rPh sb="4" eb="6">
      <t>ジンコウ</t>
    </rPh>
    <rPh sb="6" eb="8">
      <t>ミツド</t>
    </rPh>
    <rPh sb="25" eb="26">
      <t>アタ</t>
    </rPh>
    <rPh sb="32" eb="33">
      <t>ニン</t>
    </rPh>
    <rPh sb="34" eb="36">
      <t>カテイ</t>
    </rPh>
    <phoneticPr fontId="3"/>
  </si>
  <si>
    <t>表11-2（3.5.1-2）　沿道商店の工事騒音に関する外部費用（工事騒音増分）（非開削工法・開削工法）</t>
    <rPh sb="0" eb="1">
      <t>ヒョウ</t>
    </rPh>
    <phoneticPr fontId="3"/>
  </si>
  <si>
    <t>　　　　 この沿道商店店舗面積に５0人/時が10時～19時の9時間が来店と仮定。（50人*9ｈ=450人）</t>
    <rPh sb="7" eb="9">
      <t>エンドウ</t>
    </rPh>
    <rPh sb="9" eb="11">
      <t>ショウテン</t>
    </rPh>
    <rPh sb="11" eb="13">
      <t>テンポ</t>
    </rPh>
    <rPh sb="13" eb="15">
      <t>メンセキ</t>
    </rPh>
    <rPh sb="18" eb="19">
      <t>ニン</t>
    </rPh>
    <rPh sb="20" eb="21">
      <t>トキ</t>
    </rPh>
    <rPh sb="24" eb="25">
      <t>ジ</t>
    </rPh>
    <rPh sb="28" eb="29">
      <t>ジ</t>
    </rPh>
    <rPh sb="31" eb="33">
      <t>ジカン</t>
    </rPh>
    <rPh sb="34" eb="36">
      <t>ライテン</t>
    </rPh>
    <rPh sb="37" eb="39">
      <t>カテイ</t>
    </rPh>
    <rPh sb="43" eb="44">
      <t>ニン</t>
    </rPh>
    <rPh sb="51" eb="52">
      <t>ニン</t>
    </rPh>
    <phoneticPr fontId="3"/>
  </si>
  <si>
    <t>※１ 試算　　　　　　　　仮定値</t>
    <rPh sb="3" eb="5">
      <t>シサン</t>
    </rPh>
    <rPh sb="13" eb="15">
      <t>カテイ</t>
    </rPh>
    <rPh sb="15" eb="16">
      <t>アタイ</t>
    </rPh>
    <phoneticPr fontId="3"/>
  </si>
  <si>
    <t>※２ 試算　　　　　　　　仮定値</t>
    <rPh sb="3" eb="5">
      <t>シサン</t>
    </rPh>
    <rPh sb="13" eb="15">
      <t>カテイ</t>
    </rPh>
    <rPh sb="15" eb="16">
      <t>アタイ</t>
    </rPh>
    <phoneticPr fontId="3"/>
  </si>
  <si>
    <t>※３ 試算　　　　　　　　仮定値</t>
    <rPh sb="3" eb="5">
      <t>シサン</t>
    </rPh>
    <rPh sb="13" eb="15">
      <t>カテイ</t>
    </rPh>
    <rPh sb="15" eb="16">
      <t>アタイ</t>
    </rPh>
    <phoneticPr fontId="3"/>
  </si>
  <si>
    <t>※１、※２：　工事前の騒音値（暗騒音値）を５０dB、工事中の騒音値を６５dBと仮定。</t>
    <rPh sb="7" eb="9">
      <t>コウジ</t>
    </rPh>
    <rPh sb="9" eb="10">
      <t>マエ</t>
    </rPh>
    <rPh sb="11" eb="13">
      <t>ソウオン</t>
    </rPh>
    <rPh sb="13" eb="14">
      <t>アタイ</t>
    </rPh>
    <rPh sb="15" eb="16">
      <t>アン</t>
    </rPh>
    <rPh sb="16" eb="18">
      <t>ソウオン</t>
    </rPh>
    <rPh sb="18" eb="19">
      <t>アタイ</t>
    </rPh>
    <rPh sb="26" eb="29">
      <t>コウジチュウ</t>
    </rPh>
    <rPh sb="30" eb="32">
      <t>ソウオン</t>
    </rPh>
    <rPh sb="32" eb="33">
      <t>アタイ</t>
    </rPh>
    <rPh sb="39" eb="41">
      <t>カテイ</t>
    </rPh>
    <phoneticPr fontId="3"/>
  </si>
  <si>
    <t>※３：　影響商業面積は施工中心点より半径10mの円形（沿道商店店舗面積314㎡）と仮定。</t>
    <rPh sb="4" eb="6">
      <t>エイキョウ</t>
    </rPh>
    <rPh sb="6" eb="8">
      <t>ショウギョウ</t>
    </rPh>
    <rPh sb="8" eb="10">
      <t>メンセキ</t>
    </rPh>
    <rPh sb="11" eb="13">
      <t>セコウ</t>
    </rPh>
    <rPh sb="13" eb="15">
      <t>チュウシン</t>
    </rPh>
    <rPh sb="15" eb="16">
      <t>テン</t>
    </rPh>
    <rPh sb="18" eb="20">
      <t>ハンケイ</t>
    </rPh>
    <rPh sb="24" eb="26">
      <t>エンケイ</t>
    </rPh>
    <rPh sb="27" eb="29">
      <t>エンドウ</t>
    </rPh>
    <rPh sb="29" eb="31">
      <t>ショウテン</t>
    </rPh>
    <rPh sb="31" eb="33">
      <t>テンポ</t>
    </rPh>
    <rPh sb="33" eb="35">
      <t>メンセキ</t>
    </rPh>
    <rPh sb="41" eb="43">
      <t>カテイ</t>
    </rPh>
    <phoneticPr fontId="3"/>
  </si>
  <si>
    <t>　　　　 「両立坑、両マンホールの同時規制」は2か所での施工となるため来店者数を2倍とした。</t>
    <rPh sb="6" eb="7">
      <t>リョウ</t>
    </rPh>
    <rPh sb="7" eb="8">
      <t>タ</t>
    </rPh>
    <rPh sb="8" eb="9">
      <t>コウ</t>
    </rPh>
    <rPh sb="10" eb="11">
      <t>リョウ</t>
    </rPh>
    <rPh sb="17" eb="19">
      <t>ドウジ</t>
    </rPh>
    <rPh sb="19" eb="21">
      <t>キセイ</t>
    </rPh>
    <rPh sb="25" eb="26">
      <t>ショ</t>
    </rPh>
    <rPh sb="28" eb="30">
      <t>セコウ</t>
    </rPh>
    <rPh sb="35" eb="37">
      <t>ライテン</t>
    </rPh>
    <rPh sb="37" eb="38">
      <t>モノ</t>
    </rPh>
    <rPh sb="38" eb="39">
      <t>スウ</t>
    </rPh>
    <rPh sb="41" eb="42">
      <t>バイ</t>
    </rPh>
    <phoneticPr fontId="3"/>
  </si>
  <si>
    <t>※３：　影響事業所面積は施工中心点より半径30mの円形（沿道事業所面積）と仮定。</t>
    <rPh sb="4" eb="6">
      <t>エイキョウ</t>
    </rPh>
    <rPh sb="6" eb="9">
      <t>ジギョウショ</t>
    </rPh>
    <rPh sb="9" eb="11">
      <t>メンセキ</t>
    </rPh>
    <rPh sb="12" eb="14">
      <t>セコウ</t>
    </rPh>
    <rPh sb="14" eb="16">
      <t>チュウシン</t>
    </rPh>
    <rPh sb="16" eb="17">
      <t>テン</t>
    </rPh>
    <rPh sb="19" eb="21">
      <t>ハンケイ</t>
    </rPh>
    <rPh sb="25" eb="27">
      <t>エンケイ</t>
    </rPh>
    <rPh sb="28" eb="30">
      <t>エンドウ</t>
    </rPh>
    <rPh sb="30" eb="33">
      <t>ジギョウショ</t>
    </rPh>
    <rPh sb="33" eb="35">
      <t>メンセキ</t>
    </rPh>
    <rPh sb="37" eb="39">
      <t>カテイ</t>
    </rPh>
    <phoneticPr fontId="3"/>
  </si>
  <si>
    <t>　　　　「両立坑、両マンホールの同時規制」は2か所での施工となるため就業者数を2倍とした。</t>
    <rPh sb="5" eb="6">
      <t>リョウ</t>
    </rPh>
    <rPh sb="6" eb="7">
      <t>タ</t>
    </rPh>
    <rPh sb="7" eb="8">
      <t>コウ</t>
    </rPh>
    <rPh sb="9" eb="10">
      <t>リョウ</t>
    </rPh>
    <rPh sb="16" eb="18">
      <t>ドウジ</t>
    </rPh>
    <rPh sb="18" eb="20">
      <t>キセイ</t>
    </rPh>
    <rPh sb="24" eb="25">
      <t>ショ</t>
    </rPh>
    <rPh sb="27" eb="29">
      <t>セコウ</t>
    </rPh>
    <rPh sb="34" eb="37">
      <t>シュウギョウシャ</t>
    </rPh>
    <rPh sb="37" eb="38">
      <t>カズ</t>
    </rPh>
    <rPh sb="40" eb="41">
      <t>バイ</t>
    </rPh>
    <phoneticPr fontId="3"/>
  </si>
  <si>
    <t>表12-1（3.5.2-1）　沿道居住者の工事振動に関する外部費用（工事振動増分）（非開削工法・開削工法）</t>
    <rPh sb="0" eb="1">
      <t>ヒョウ</t>
    </rPh>
    <rPh sb="15" eb="17">
      <t>エンドウ</t>
    </rPh>
    <rPh sb="17" eb="20">
      <t>キョジュウシャ</t>
    </rPh>
    <rPh sb="21" eb="23">
      <t>コウジ</t>
    </rPh>
    <rPh sb="23" eb="25">
      <t>シンドウ</t>
    </rPh>
    <rPh sb="26" eb="27">
      <t>カン</t>
    </rPh>
    <rPh sb="29" eb="31">
      <t>ガイブ</t>
    </rPh>
    <rPh sb="31" eb="33">
      <t>ヒヨウ</t>
    </rPh>
    <rPh sb="34" eb="36">
      <t>コウジ</t>
    </rPh>
    <rPh sb="36" eb="38">
      <t>シンドウ</t>
    </rPh>
    <rPh sb="38" eb="40">
      <t>ゾウブン</t>
    </rPh>
    <rPh sb="42" eb="43">
      <t>ヒ</t>
    </rPh>
    <rPh sb="43" eb="45">
      <t>カイサク</t>
    </rPh>
    <rPh sb="45" eb="47">
      <t>コウホウ</t>
    </rPh>
    <rPh sb="48" eb="50">
      <t>カイサク</t>
    </rPh>
    <rPh sb="50" eb="52">
      <t>コウホウ</t>
    </rPh>
    <phoneticPr fontId="3"/>
  </si>
  <si>
    <t>※１ 試算　　　　　　　　　　　　仮定値</t>
    <rPh sb="3" eb="5">
      <t>シサン</t>
    </rPh>
    <rPh sb="17" eb="19">
      <t>カテイ</t>
    </rPh>
    <rPh sb="19" eb="20">
      <t>アタイ</t>
    </rPh>
    <phoneticPr fontId="3"/>
  </si>
  <si>
    <t>※３ 試算　　　　　　　　　　　　仮定値</t>
    <rPh sb="3" eb="5">
      <t>シサン</t>
    </rPh>
    <rPh sb="17" eb="19">
      <t>カテイ</t>
    </rPh>
    <rPh sb="19" eb="20">
      <t>アタイ</t>
    </rPh>
    <phoneticPr fontId="3"/>
  </si>
  <si>
    <t>※４ 試算　　　　　　　　　　　　仮定値</t>
    <rPh sb="3" eb="5">
      <t>シサン</t>
    </rPh>
    <rPh sb="17" eb="19">
      <t>カテイ</t>
    </rPh>
    <rPh sb="19" eb="20">
      <t>アタイ</t>
    </rPh>
    <phoneticPr fontId="3"/>
  </si>
  <si>
    <r>
      <t>※１、※２：</t>
    </r>
    <r>
      <rPr>
        <sz val="11"/>
        <rFont val="ＭＳ Ｐゴシック"/>
        <family val="2"/>
        <charset val="128"/>
        <scheme val="major"/>
      </rPr>
      <t xml:space="preserve"> 工事前の振動値（暗振動値）を５５dB、工事中の振動値を７０dBと仮定。</t>
    </r>
    <rPh sb="7" eb="9">
      <t>コウジ</t>
    </rPh>
    <rPh sb="9" eb="10">
      <t>マエ</t>
    </rPh>
    <rPh sb="11" eb="13">
      <t>シンドウ</t>
    </rPh>
    <rPh sb="13" eb="14">
      <t>アタイ</t>
    </rPh>
    <rPh sb="15" eb="16">
      <t>アン</t>
    </rPh>
    <rPh sb="16" eb="18">
      <t>シンドウ</t>
    </rPh>
    <rPh sb="18" eb="19">
      <t>アタイ</t>
    </rPh>
    <rPh sb="26" eb="29">
      <t>コウジチュウ</t>
    </rPh>
    <rPh sb="30" eb="32">
      <t>シンドウ</t>
    </rPh>
    <rPh sb="32" eb="33">
      <t>アタイ</t>
    </rPh>
    <rPh sb="39" eb="41">
      <t>カテイ</t>
    </rPh>
    <phoneticPr fontId="3"/>
  </si>
  <si>
    <r>
      <t>※３：</t>
    </r>
    <r>
      <rPr>
        <sz val="11"/>
        <rFont val="ＭＳ Ｐゴシック"/>
        <family val="2"/>
        <charset val="128"/>
        <scheme val="major"/>
      </rPr>
      <t xml:space="preserve">  影響居住地面積は施工中心点より半径20m(1,256㎡）の円形と仮定。</t>
    </r>
    <rPh sb="5" eb="7">
      <t>エイキョウ</t>
    </rPh>
    <rPh sb="7" eb="10">
      <t>キョジュウチ</t>
    </rPh>
    <rPh sb="10" eb="12">
      <t>メンセキ</t>
    </rPh>
    <rPh sb="13" eb="15">
      <t>セコウ</t>
    </rPh>
    <rPh sb="15" eb="17">
      <t>チュウシン</t>
    </rPh>
    <rPh sb="17" eb="18">
      <t>テン</t>
    </rPh>
    <rPh sb="20" eb="22">
      <t>ハンケイ</t>
    </rPh>
    <rPh sb="34" eb="36">
      <t>エンケイ</t>
    </rPh>
    <rPh sb="37" eb="39">
      <t>カテイ</t>
    </rPh>
    <phoneticPr fontId="3"/>
  </si>
  <si>
    <r>
      <t xml:space="preserve">      </t>
    </r>
    <r>
      <rPr>
        <sz val="11"/>
        <rFont val="ＭＳ Ｐゴシック"/>
        <family val="3"/>
        <charset val="128"/>
        <scheme val="major"/>
      </rPr>
      <t xml:space="preserve">  「両立坑、両マンホールの同時規制」</t>
    </r>
    <r>
      <rPr>
        <sz val="11"/>
        <rFont val="ＭＳ Ｐゴシック"/>
        <family val="2"/>
        <charset val="128"/>
        <scheme val="major"/>
      </rPr>
      <t>は2か所での施工となるため影響居住地面積を2倍とした。</t>
    </r>
    <rPh sb="9" eb="10">
      <t>リョウ</t>
    </rPh>
    <rPh sb="10" eb="11">
      <t>タ</t>
    </rPh>
    <rPh sb="11" eb="12">
      <t>コウ</t>
    </rPh>
    <rPh sb="13" eb="14">
      <t>リョウ</t>
    </rPh>
    <rPh sb="20" eb="22">
      <t>ドウジ</t>
    </rPh>
    <rPh sb="22" eb="24">
      <t>キセイ</t>
    </rPh>
    <rPh sb="28" eb="29">
      <t>ショ</t>
    </rPh>
    <rPh sb="31" eb="33">
      <t>セコウ</t>
    </rPh>
    <rPh sb="38" eb="40">
      <t>エイキョウ</t>
    </rPh>
    <rPh sb="40" eb="43">
      <t>キョジュウチ</t>
    </rPh>
    <rPh sb="43" eb="45">
      <t>メンセキ</t>
    </rPh>
    <rPh sb="47" eb="48">
      <t>バイ</t>
    </rPh>
    <phoneticPr fontId="3"/>
  </si>
  <si>
    <r>
      <t xml:space="preserve">※４： </t>
    </r>
    <r>
      <rPr>
        <sz val="11"/>
        <rFont val="ＭＳ Ｐゴシック"/>
        <family val="2"/>
        <charset val="128"/>
        <scheme val="major"/>
      </rPr>
      <t>人口密度は、1ｋ㎡（１，０００，０００㎡）当り４，０００人と仮定。</t>
    </r>
    <rPh sb="4" eb="6">
      <t>ジンコウ</t>
    </rPh>
    <rPh sb="6" eb="8">
      <t>ミツド</t>
    </rPh>
    <rPh sb="25" eb="26">
      <t>アタ</t>
    </rPh>
    <rPh sb="32" eb="33">
      <t>ニン</t>
    </rPh>
    <rPh sb="34" eb="36">
      <t>カテイ</t>
    </rPh>
    <phoneticPr fontId="3"/>
  </si>
  <si>
    <t>⑦＝
①*(②/24)*(③-④)*⑤*⑥</t>
    <phoneticPr fontId="3"/>
  </si>
  <si>
    <t>表12-2（3.5.2-2）　沿道商店の工事振動に関する外部費用（工事振動増分）（非開削工法・開削工法）</t>
    <phoneticPr fontId="3"/>
  </si>
  <si>
    <t>※１、※２：　工事前の振動値（暗振動値）を５５dB、工事中の振動値を７０dBと仮定。</t>
    <rPh sb="7" eb="9">
      <t>コウジ</t>
    </rPh>
    <rPh sb="9" eb="10">
      <t>マエ</t>
    </rPh>
    <rPh sb="11" eb="13">
      <t>シンドウ</t>
    </rPh>
    <rPh sb="13" eb="14">
      <t>アタイ</t>
    </rPh>
    <rPh sb="15" eb="16">
      <t>アン</t>
    </rPh>
    <rPh sb="16" eb="18">
      <t>シンドウ</t>
    </rPh>
    <rPh sb="18" eb="19">
      <t>アタイ</t>
    </rPh>
    <rPh sb="26" eb="29">
      <t>コウジチュウ</t>
    </rPh>
    <rPh sb="30" eb="32">
      <t>シンドウ</t>
    </rPh>
    <rPh sb="32" eb="33">
      <t>アタイ</t>
    </rPh>
    <rPh sb="39" eb="41">
      <t>カテイ</t>
    </rPh>
    <phoneticPr fontId="3"/>
  </si>
  <si>
    <t>　　　　 この沿道商店店舗面積に５0人/時が10時～19時の9時間で来店と仮定。（50人×9h=450人）</t>
    <rPh sb="7" eb="9">
      <t>エンドウ</t>
    </rPh>
    <rPh sb="9" eb="11">
      <t>ショウテン</t>
    </rPh>
    <rPh sb="11" eb="13">
      <t>テンポ</t>
    </rPh>
    <rPh sb="13" eb="15">
      <t>メンセキ</t>
    </rPh>
    <rPh sb="18" eb="19">
      <t>ニン</t>
    </rPh>
    <rPh sb="20" eb="21">
      <t>トキ</t>
    </rPh>
    <rPh sb="24" eb="25">
      <t>ジ</t>
    </rPh>
    <rPh sb="28" eb="29">
      <t>ジ</t>
    </rPh>
    <rPh sb="31" eb="33">
      <t>ジカン</t>
    </rPh>
    <rPh sb="34" eb="36">
      <t>ライテン</t>
    </rPh>
    <rPh sb="37" eb="39">
      <t>カテイ</t>
    </rPh>
    <rPh sb="43" eb="44">
      <t>ニン</t>
    </rPh>
    <rPh sb="51" eb="52">
      <t>ニン</t>
    </rPh>
    <phoneticPr fontId="3"/>
  </si>
  <si>
    <t xml:space="preserve">        「両立坑、両マンホールの同時規制」は2か所での施工となるため商店来客数を2倍とした。</t>
    <rPh sb="9" eb="10">
      <t>リョウ</t>
    </rPh>
    <rPh sb="10" eb="11">
      <t>タ</t>
    </rPh>
    <rPh sb="11" eb="12">
      <t>コウ</t>
    </rPh>
    <rPh sb="13" eb="14">
      <t>リョウ</t>
    </rPh>
    <rPh sb="20" eb="22">
      <t>ドウジ</t>
    </rPh>
    <rPh sb="22" eb="24">
      <t>キセイ</t>
    </rPh>
    <rPh sb="28" eb="29">
      <t>ショ</t>
    </rPh>
    <rPh sb="31" eb="33">
      <t>セコウ</t>
    </rPh>
    <rPh sb="38" eb="40">
      <t>ショウテン</t>
    </rPh>
    <rPh sb="40" eb="42">
      <t>ライキャク</t>
    </rPh>
    <rPh sb="42" eb="43">
      <t>カズ</t>
    </rPh>
    <rPh sb="45" eb="46">
      <t>バイ</t>
    </rPh>
    <phoneticPr fontId="3"/>
  </si>
  <si>
    <t>表12-3（3.5.2-3）　沿道事業所の工事振動に関する外部費用（工事振動増分）（非開削工法・開削工法）</t>
    <phoneticPr fontId="3"/>
  </si>
  <si>
    <t>⑦＝
(①/365*②/24)*⑥</t>
    <phoneticPr fontId="3"/>
  </si>
  <si>
    <t>※１、※２： 工事前の振動値（暗振動値）を５５dB、工事中の振動値を７０dBと仮定。</t>
    <rPh sb="7" eb="9">
      <t>コウジ</t>
    </rPh>
    <rPh sb="9" eb="10">
      <t>マエ</t>
    </rPh>
    <rPh sb="11" eb="13">
      <t>シンドウ</t>
    </rPh>
    <rPh sb="13" eb="14">
      <t>アタイ</t>
    </rPh>
    <rPh sb="15" eb="16">
      <t>アン</t>
    </rPh>
    <rPh sb="16" eb="18">
      <t>シンドウ</t>
    </rPh>
    <rPh sb="18" eb="19">
      <t>アタイ</t>
    </rPh>
    <rPh sb="26" eb="29">
      <t>コウジチュウ</t>
    </rPh>
    <rPh sb="30" eb="32">
      <t>シンドウ</t>
    </rPh>
    <rPh sb="32" eb="33">
      <t>アタイ</t>
    </rPh>
    <rPh sb="39" eb="41">
      <t>カテイ</t>
    </rPh>
    <phoneticPr fontId="3"/>
  </si>
  <si>
    <t>※３： 影響事業所面積は施工中心点より半径30mの円形（沿道事業所面積2,816㎡）と仮定。</t>
    <rPh sb="4" eb="6">
      <t>エイキョウ</t>
    </rPh>
    <rPh sb="6" eb="9">
      <t>ジギョウショ</t>
    </rPh>
    <rPh sb="9" eb="11">
      <t>メンセキ</t>
    </rPh>
    <rPh sb="12" eb="14">
      <t>セコウ</t>
    </rPh>
    <rPh sb="14" eb="16">
      <t>チュウシン</t>
    </rPh>
    <rPh sb="16" eb="17">
      <t>テン</t>
    </rPh>
    <rPh sb="19" eb="21">
      <t>ハンケイ</t>
    </rPh>
    <rPh sb="25" eb="27">
      <t>エンケイ</t>
    </rPh>
    <rPh sb="28" eb="30">
      <t>エンドウ</t>
    </rPh>
    <rPh sb="30" eb="33">
      <t>ジギョウショ</t>
    </rPh>
    <rPh sb="33" eb="35">
      <t>メンセキ</t>
    </rPh>
    <rPh sb="43" eb="45">
      <t>カテイ</t>
    </rPh>
    <phoneticPr fontId="3"/>
  </si>
  <si>
    <t>　　　　「両立坑、両マンホールの同時規制」は2か所での施工となるため事業所就業者数を2倍とした。</t>
    <rPh sb="5" eb="6">
      <t>リョウ</t>
    </rPh>
    <rPh sb="6" eb="8">
      <t>タテコウ</t>
    </rPh>
    <rPh sb="9" eb="10">
      <t>リョウ</t>
    </rPh>
    <rPh sb="16" eb="18">
      <t>ドウジ</t>
    </rPh>
    <rPh sb="18" eb="20">
      <t>キセイ</t>
    </rPh>
    <rPh sb="24" eb="25">
      <t>ショ</t>
    </rPh>
    <rPh sb="27" eb="29">
      <t>セコウ</t>
    </rPh>
    <rPh sb="34" eb="37">
      <t>ジギョウショ</t>
    </rPh>
    <rPh sb="37" eb="40">
      <t>シュウギョウシャ</t>
    </rPh>
    <rPh sb="40" eb="41">
      <t>カズ</t>
    </rPh>
    <rPh sb="43" eb="44">
      <t>バイ</t>
    </rPh>
    <phoneticPr fontId="3"/>
  </si>
  <si>
    <t>NOX健康被害
影響
費用原単位</t>
    <phoneticPr fontId="3"/>
  </si>
  <si>
    <t>SPM健康被害
影響
費用原単位</t>
    <phoneticPr fontId="3"/>
  </si>
  <si>
    <t>表１３－１（３．５．３－１）　健康被害に関する外部費用（健康被害増分）（非開削工法・工事規制なし）</t>
  </si>
  <si>
    <t>外部費用
（非開削工法）
（規制なし）
(円／工事）　　　　　　⑳</t>
    <rPh sb="0" eb="2">
      <t>ガイブ</t>
    </rPh>
    <rPh sb="2" eb="4">
      <t>ヒヨウ</t>
    </rPh>
    <rPh sb="6" eb="7">
      <t>ヒ</t>
    </rPh>
    <rPh sb="7" eb="9">
      <t>カイサク</t>
    </rPh>
    <rPh sb="9" eb="11">
      <t>コウホウ</t>
    </rPh>
    <rPh sb="14" eb="16">
      <t>キセイ</t>
    </rPh>
    <rPh sb="21" eb="22">
      <t>エン</t>
    </rPh>
    <rPh sb="23" eb="25">
      <t>コウジ</t>
    </rPh>
    <phoneticPr fontId="3"/>
  </si>
  <si>
    <t>表１３－２（３．５．３－２）　健康被害に関する外部費用（健康被害増分）（非開削工法・工事規制あり）</t>
    <phoneticPr fontId="3"/>
  </si>
  <si>
    <t>外部費用
（非開削工法）
（規制あり）
(円/工事）　　　　　　　　　　　　　　　　　　　⑳</t>
    <rPh sb="0" eb="2">
      <t>ガイブ</t>
    </rPh>
    <rPh sb="2" eb="4">
      <t>ヒヨウ</t>
    </rPh>
    <rPh sb="6" eb="7">
      <t>ヒ</t>
    </rPh>
    <rPh sb="7" eb="9">
      <t>カイサク</t>
    </rPh>
    <rPh sb="9" eb="11">
      <t>コウホウ</t>
    </rPh>
    <rPh sb="14" eb="16">
      <t>キセイ</t>
    </rPh>
    <rPh sb="21" eb="22">
      <t>エン</t>
    </rPh>
    <rPh sb="23" eb="25">
      <t>コウジ</t>
    </rPh>
    <phoneticPr fontId="3"/>
  </si>
  <si>
    <t xml:space="preserve"> 表１３－３（３．５．３－３）健康被害に関する外部費用（健康被害増分）
（開削工法・工事規制なし）</t>
    <phoneticPr fontId="3"/>
  </si>
  <si>
    <t>外部費用
（開削工法）
（規制なし）
（円/工事）
⑳</t>
    <rPh sb="0" eb="2">
      <t>ガイブ</t>
    </rPh>
    <rPh sb="2" eb="4">
      <t>ヒヨウ</t>
    </rPh>
    <rPh sb="6" eb="8">
      <t>カイサク</t>
    </rPh>
    <rPh sb="8" eb="10">
      <t>コウホウ</t>
    </rPh>
    <rPh sb="13" eb="15">
      <t>キセイ</t>
    </rPh>
    <rPh sb="20" eb="21">
      <t>エン</t>
    </rPh>
    <rPh sb="22" eb="24">
      <t>コウジ</t>
    </rPh>
    <phoneticPr fontId="3"/>
  </si>
  <si>
    <t>表１３－４（３．５．３－４）　健康被害に関する外部費用（健康被害増分）
（開削工法・工事規制あり）</t>
    <phoneticPr fontId="3"/>
  </si>
  <si>
    <t>外部費用
（開削工法）
（規制あり）
（円/工事）
⑳</t>
    <rPh sb="0" eb="2">
      <t>ガイブ</t>
    </rPh>
    <rPh sb="2" eb="4">
      <t>ヒヨウ</t>
    </rPh>
    <rPh sb="6" eb="8">
      <t>カイサク</t>
    </rPh>
    <rPh sb="8" eb="10">
      <t>コウホウ</t>
    </rPh>
    <rPh sb="13" eb="15">
      <t>キセイ</t>
    </rPh>
    <rPh sb="20" eb="21">
      <t>エン</t>
    </rPh>
    <rPh sb="22" eb="24">
      <t>コウジ</t>
    </rPh>
    <phoneticPr fontId="3"/>
  </si>
  <si>
    <t>(世帯/影響面積内）</t>
    <rPh sb="1" eb="3">
      <t>セタイ</t>
    </rPh>
    <rPh sb="4" eb="6">
      <t>エイキョウ</t>
    </rPh>
    <rPh sb="6" eb="8">
      <t>メンセキ</t>
    </rPh>
    <rPh sb="8" eb="9">
      <t>ナイ</t>
    </rPh>
    <phoneticPr fontId="3"/>
  </si>
  <si>
    <t>(回/工事中)</t>
    <rPh sb="1" eb="2">
      <t>カイ</t>
    </rPh>
    <rPh sb="3" eb="5">
      <t>コウジ</t>
    </rPh>
    <rPh sb="5" eb="6">
      <t>チュウ</t>
    </rPh>
    <phoneticPr fontId="3"/>
  </si>
  <si>
    <t>(円/工事)</t>
    <rPh sb="1" eb="2">
      <t>エン</t>
    </rPh>
    <rPh sb="3" eb="5">
      <t>コウジ</t>
    </rPh>
    <phoneticPr fontId="3"/>
  </si>
  <si>
    <t>(円/世帯/日)</t>
    <rPh sb="1" eb="2">
      <t>エン</t>
    </rPh>
    <rPh sb="3" eb="5">
      <t>セタイ</t>
    </rPh>
    <rPh sb="6" eb="7">
      <t>ニチ</t>
    </rPh>
    <phoneticPr fontId="3"/>
  </si>
  <si>
    <t>※１ 試算　　　　　　　　　　　仮定値</t>
    <rPh sb="3" eb="5">
      <t>シサン</t>
    </rPh>
    <rPh sb="16" eb="18">
      <t>カテイ</t>
    </rPh>
    <rPh sb="18" eb="19">
      <t>アタイ</t>
    </rPh>
    <phoneticPr fontId="3"/>
  </si>
  <si>
    <t>※２ 試算　　　　　　　　　　　　　　　　　仮定値</t>
    <rPh sb="3" eb="5">
      <t>シサン</t>
    </rPh>
    <rPh sb="22" eb="24">
      <t>カテイ</t>
    </rPh>
    <rPh sb="24" eb="25">
      <t>アタイ</t>
    </rPh>
    <phoneticPr fontId="3"/>
  </si>
  <si>
    <t>⑨：　停電原単位(表2-21（P35))は（2,350円／個人・回）で示されるが、上表では１世帯人数2.58人をこれに乗じて世帯原単位(6,063円）とした。</t>
    <rPh sb="3" eb="5">
      <t>テイデン</t>
    </rPh>
    <rPh sb="5" eb="8">
      <t>ゲンタンイ</t>
    </rPh>
    <rPh sb="9" eb="10">
      <t>ヒョウ</t>
    </rPh>
    <rPh sb="27" eb="28">
      <t>エン</t>
    </rPh>
    <rPh sb="29" eb="31">
      <t>コジン</t>
    </rPh>
    <rPh sb="32" eb="33">
      <t>カイ</t>
    </rPh>
    <rPh sb="35" eb="36">
      <t>シメ</t>
    </rPh>
    <rPh sb="41" eb="42">
      <t>ウエ</t>
    </rPh>
    <rPh sb="42" eb="43">
      <t>ヒョウ</t>
    </rPh>
    <rPh sb="46" eb="48">
      <t>セタイ</t>
    </rPh>
    <rPh sb="48" eb="50">
      <t>ニンズウ</t>
    </rPh>
    <rPh sb="54" eb="55">
      <t>ニン</t>
    </rPh>
    <rPh sb="59" eb="60">
      <t>ジョウ</t>
    </rPh>
    <rPh sb="62" eb="64">
      <t>セタイ</t>
    </rPh>
    <rPh sb="64" eb="67">
      <t>ゲンタンイ</t>
    </rPh>
    <rPh sb="73" eb="74">
      <t>エン</t>
    </rPh>
    <phoneticPr fontId="3"/>
  </si>
  <si>
    <t>※１：　影響居住地面積は施工中心点より半径100mの円形と仮定。　また、「両立坑、両マンホールの同時規制」では2か所での施工となるため影響居住地面積を2倍とした。</t>
    <phoneticPr fontId="3"/>
  </si>
  <si>
    <t>※２：　人口密度は、１ｋｍ2（1,000,000㎡）当り4,000人と仮定。</t>
    <rPh sb="4" eb="6">
      <t>ジンコウ</t>
    </rPh>
    <rPh sb="6" eb="8">
      <t>ミツド</t>
    </rPh>
    <rPh sb="26" eb="27">
      <t>アタ</t>
    </rPh>
    <rPh sb="33" eb="34">
      <t>ニン</t>
    </rPh>
    <rPh sb="35" eb="37">
      <t>カテイ</t>
    </rPh>
    <phoneticPr fontId="3"/>
  </si>
  <si>
    <t>※３：  １世帯当たりの人数は2.58人と仮定。</t>
    <rPh sb="6" eb="8">
      <t>セタイ</t>
    </rPh>
    <rPh sb="8" eb="9">
      <t>ア</t>
    </rPh>
    <rPh sb="12" eb="14">
      <t>ニンズウ</t>
    </rPh>
    <rPh sb="19" eb="20">
      <t>ニン</t>
    </rPh>
    <rPh sb="21" eb="23">
      <t>カテイ</t>
    </rPh>
    <phoneticPr fontId="3"/>
  </si>
  <si>
    <r>
      <t>※４：</t>
    </r>
    <r>
      <rPr>
        <sz val="11"/>
        <rFont val="ＭＳ Ｐゴシック"/>
        <family val="2"/>
        <charset val="128"/>
        <scheme val="major"/>
      </rPr>
      <t>　停電発生率は、開削工事で0.0027（工事期間365日に1回発生）、非開削工事で0.0014（工事365日に0.5回発生）と仮定。</t>
    </r>
    <rPh sb="4" eb="6">
      <t>テイデン</t>
    </rPh>
    <rPh sb="6" eb="8">
      <t>ハッセイ</t>
    </rPh>
    <rPh sb="8" eb="9">
      <t>リツ</t>
    </rPh>
    <rPh sb="11" eb="13">
      <t>カイサク</t>
    </rPh>
    <rPh sb="13" eb="15">
      <t>コウジ</t>
    </rPh>
    <rPh sb="23" eb="25">
      <t>コウジ</t>
    </rPh>
    <rPh sb="25" eb="27">
      <t>キカン</t>
    </rPh>
    <rPh sb="30" eb="31">
      <t>ニチ</t>
    </rPh>
    <rPh sb="33" eb="34">
      <t>カイ</t>
    </rPh>
    <rPh sb="34" eb="36">
      <t>ハッセイ</t>
    </rPh>
    <rPh sb="38" eb="39">
      <t>ヒ</t>
    </rPh>
    <rPh sb="39" eb="41">
      <t>カイサク</t>
    </rPh>
    <rPh sb="41" eb="43">
      <t>コウジ</t>
    </rPh>
    <rPh sb="56" eb="57">
      <t>ニチ</t>
    </rPh>
    <rPh sb="66" eb="68">
      <t>カテイ</t>
    </rPh>
    <phoneticPr fontId="3"/>
  </si>
  <si>
    <t>※２ 試算　　　　　　　　　仮定値</t>
    <rPh sb="3" eb="5">
      <t>シサン</t>
    </rPh>
    <rPh sb="14" eb="16">
      <t>カテイ</t>
    </rPh>
    <rPh sb="16" eb="17">
      <t>アタイ</t>
    </rPh>
    <phoneticPr fontId="3"/>
  </si>
  <si>
    <t>※３ 試算　　　　　　　　　仮定値</t>
    <rPh sb="3" eb="5">
      <t>シサン</t>
    </rPh>
    <rPh sb="14" eb="16">
      <t>カテイ</t>
    </rPh>
    <rPh sb="16" eb="17">
      <t>アタイ</t>
    </rPh>
    <phoneticPr fontId="3"/>
  </si>
  <si>
    <t>※４ 試算　　　　　仮定値</t>
    <rPh sb="3" eb="5">
      <t>シサン</t>
    </rPh>
    <rPh sb="10" eb="12">
      <t>カテイ</t>
    </rPh>
    <rPh sb="12" eb="13">
      <t>アタイ</t>
    </rPh>
    <phoneticPr fontId="3"/>
  </si>
  <si>
    <t>※５ 試算　　　　　　　　　仮定値</t>
    <rPh sb="3" eb="5">
      <t>シサン</t>
    </rPh>
    <rPh sb="14" eb="16">
      <t>カテイ</t>
    </rPh>
    <rPh sb="16" eb="17">
      <t>アタイ</t>
    </rPh>
    <phoneticPr fontId="3"/>
  </si>
  <si>
    <t>⑨：　断水原単位（表２－２２（P36))は（7,428円／人・日）で示されるが、上表では１世帯人数2.58人をこれに乗じて世帯原単位(19,164円）とした。</t>
    <rPh sb="3" eb="5">
      <t>ダンスイ</t>
    </rPh>
    <rPh sb="5" eb="8">
      <t>ゲンタンイ</t>
    </rPh>
    <rPh sb="9" eb="10">
      <t>ヒョウ</t>
    </rPh>
    <rPh sb="27" eb="28">
      <t>エン</t>
    </rPh>
    <rPh sb="29" eb="30">
      <t>ニン</t>
    </rPh>
    <rPh sb="31" eb="32">
      <t>ヒ</t>
    </rPh>
    <rPh sb="34" eb="35">
      <t>シメ</t>
    </rPh>
    <rPh sb="40" eb="41">
      <t>ウエ</t>
    </rPh>
    <rPh sb="41" eb="42">
      <t>ヒョウ</t>
    </rPh>
    <rPh sb="45" eb="47">
      <t>セタイ</t>
    </rPh>
    <rPh sb="47" eb="49">
      <t>ニンズウ</t>
    </rPh>
    <rPh sb="53" eb="54">
      <t>ニン</t>
    </rPh>
    <rPh sb="58" eb="59">
      <t>ジョウ</t>
    </rPh>
    <rPh sb="61" eb="63">
      <t>セタイ</t>
    </rPh>
    <rPh sb="63" eb="66">
      <t>ゲンタンイ</t>
    </rPh>
    <rPh sb="73" eb="74">
      <t>エン</t>
    </rPh>
    <phoneticPr fontId="3"/>
  </si>
  <si>
    <t>※１：　影響居住地面積は施工中心点より半径100mの円形と仮定。　「両立坑、両マンホールの同時規制」では2か所での施工となるため影響居住地面積を2倍とした。</t>
    <rPh sb="34" eb="35">
      <t>リョウ</t>
    </rPh>
    <rPh sb="35" eb="37">
      <t>タテコウ</t>
    </rPh>
    <rPh sb="38" eb="39">
      <t>リョウ</t>
    </rPh>
    <rPh sb="45" eb="47">
      <t>ドウジ</t>
    </rPh>
    <phoneticPr fontId="3"/>
  </si>
  <si>
    <t>※４：　１回の断水の断水時間は、１日と仮定。</t>
    <rPh sb="5" eb="6">
      <t>カイ</t>
    </rPh>
    <rPh sb="7" eb="9">
      <t>ダンスイ</t>
    </rPh>
    <rPh sb="10" eb="12">
      <t>ダンスイ</t>
    </rPh>
    <rPh sb="12" eb="14">
      <t>ジカン</t>
    </rPh>
    <rPh sb="17" eb="18">
      <t>ヒ</t>
    </rPh>
    <rPh sb="19" eb="21">
      <t>カテイ</t>
    </rPh>
    <phoneticPr fontId="3"/>
  </si>
  <si>
    <t>※５：　断水発生率は、開削工事で0.0027（工事期間365日に1回発生）、非開削工事で0.0014（工事365日に0.5回発生）と仮定。</t>
    <rPh sb="4" eb="6">
      <t>ダンスイ</t>
    </rPh>
    <rPh sb="6" eb="8">
      <t>ハッセイ</t>
    </rPh>
    <rPh sb="8" eb="9">
      <t>リツ</t>
    </rPh>
    <rPh sb="11" eb="13">
      <t>カイサク</t>
    </rPh>
    <rPh sb="13" eb="15">
      <t>コウジ</t>
    </rPh>
    <rPh sb="23" eb="25">
      <t>コウジ</t>
    </rPh>
    <rPh sb="25" eb="27">
      <t>キカン</t>
    </rPh>
    <rPh sb="30" eb="31">
      <t>ニチ</t>
    </rPh>
    <rPh sb="33" eb="34">
      <t>カイ</t>
    </rPh>
    <rPh sb="34" eb="36">
      <t>ハッセイ</t>
    </rPh>
    <rPh sb="38" eb="39">
      <t>ヒ</t>
    </rPh>
    <rPh sb="39" eb="41">
      <t>カイサク</t>
    </rPh>
    <rPh sb="41" eb="43">
      <t>コウジ</t>
    </rPh>
    <rPh sb="56" eb="57">
      <t>ニチ</t>
    </rPh>
    <rPh sb="66" eb="68">
      <t>カテイ</t>
    </rPh>
    <phoneticPr fontId="3"/>
  </si>
  <si>
    <t>⑩＝
⑥*⑧*⑨</t>
    <phoneticPr fontId="3"/>
  </si>
  <si>
    <t>⑥＝(③/1,000,000)
*④/⑤</t>
    <phoneticPr fontId="3"/>
  </si>
  <si>
    <t>⑲＝①×②
×③×⑰×⑱</t>
    <phoneticPr fontId="3"/>
  </si>
  <si>
    <t>⑥＝①*②*③*④*⑤</t>
    <phoneticPr fontId="3"/>
  </si>
  <si>
    <t>⑨＝
①*②*③*④*⑦*⑧</t>
    <phoneticPr fontId="3"/>
  </si>
  <si>
    <t>⑥＝
③/1000*④*(①*②/365/24)*⑤</t>
    <phoneticPr fontId="3"/>
  </si>
  <si>
    <t>⑧＝
①*（②/24）*(③-④)*⑤/1,000,000*⑥*⑦</t>
    <phoneticPr fontId="3"/>
  </si>
  <si>
    <t>⑦＝
①*②/24*(③-④)*⑤*⑥</t>
    <phoneticPr fontId="3"/>
  </si>
  <si>
    <t>⑦＝
①*（②/24）*(③-④)*⑤*⑥</t>
    <phoneticPr fontId="3"/>
  </si>
  <si>
    <t>⑧＝①*(②/24)*(③-④)
*(⑤/1,000,000)*⑥*⑦</t>
    <phoneticPr fontId="3"/>
  </si>
  <si>
    <t>⑲＝⑰×⑱</t>
    <phoneticPr fontId="3"/>
  </si>
  <si>
    <t>⑲＝　　　　　　　⑰×⑱</t>
    <phoneticPr fontId="3"/>
  </si>
  <si>
    <t>表14-1（3.5.4-1）　沿道居住者の停電・断水に関する外部費用（停電・断水増分）（非開削工法・開削工法）</t>
    <phoneticPr fontId="3"/>
  </si>
  <si>
    <t>表14-2（3.5.4-2）　沿道商店の停電・断水に関する外部費用（停電・断水増分）（非開削工法・開削工法）</t>
    <phoneticPr fontId="3"/>
  </si>
  <si>
    <t>(円/店・回)</t>
    <rPh sb="1" eb="2">
      <t>エン</t>
    </rPh>
    <rPh sb="3" eb="4">
      <t>テン</t>
    </rPh>
    <rPh sb="5" eb="6">
      <t>カイ</t>
    </rPh>
    <phoneticPr fontId="3"/>
  </si>
  <si>
    <t>(回/工事中)</t>
    <rPh sb="1" eb="2">
      <t>カイ</t>
    </rPh>
    <rPh sb="3" eb="6">
      <t>コウジチュウ</t>
    </rPh>
    <phoneticPr fontId="3"/>
  </si>
  <si>
    <t>⑤＝((①*②)/
(365*24))*④</t>
    <phoneticPr fontId="3"/>
  </si>
  <si>
    <t xml:space="preserve">         「両立坑、両マンホールの同時規制」では、２ヶ所での施工となるため影響商店数を２倍とした。</t>
    <rPh sb="10" eb="11">
      <t>リョウ</t>
    </rPh>
    <rPh sb="11" eb="13">
      <t>タテコウ</t>
    </rPh>
    <rPh sb="14" eb="15">
      <t>リョウ</t>
    </rPh>
    <rPh sb="21" eb="23">
      <t>ドウジ</t>
    </rPh>
    <rPh sb="23" eb="25">
      <t>キセイ</t>
    </rPh>
    <rPh sb="31" eb="32">
      <t>ショ</t>
    </rPh>
    <rPh sb="34" eb="36">
      <t>セコウ</t>
    </rPh>
    <rPh sb="41" eb="43">
      <t>エイキョウ</t>
    </rPh>
    <rPh sb="43" eb="45">
      <t>ショウテン</t>
    </rPh>
    <rPh sb="45" eb="46">
      <t>スウ</t>
    </rPh>
    <rPh sb="48" eb="49">
      <t>バイ</t>
    </rPh>
    <phoneticPr fontId="3"/>
  </si>
  <si>
    <t>⑦＝
③*⑤*⑥</t>
    <phoneticPr fontId="3"/>
  </si>
  <si>
    <t>⑧＝
⑤*⑥*⑦</t>
    <phoneticPr fontId="3"/>
  </si>
  <si>
    <t>⑩＝
③*⑧*⑨</t>
    <phoneticPr fontId="3"/>
  </si>
  <si>
    <t>-</t>
    <phoneticPr fontId="3"/>
  </si>
  <si>
    <t>表-3　　　（P59)</t>
    <rPh sb="0" eb="1">
      <t>ヒョウ</t>
    </rPh>
    <phoneticPr fontId="3"/>
  </si>
  <si>
    <t>表-3　（P59)</t>
    <rPh sb="0" eb="1">
      <t>ヒョウ</t>
    </rPh>
    <phoneticPr fontId="3"/>
  </si>
  <si>
    <t>表-3　　（P59)</t>
    <rPh sb="0" eb="1">
      <t>ヒョウ</t>
    </rPh>
    <phoneticPr fontId="3"/>
  </si>
  <si>
    <t>※２ 試算　　　　　　仮定値</t>
    <rPh sb="3" eb="5">
      <t>シサン</t>
    </rPh>
    <rPh sb="11" eb="13">
      <t>カテイ</t>
    </rPh>
    <rPh sb="13" eb="14">
      <t>アタイ</t>
    </rPh>
    <phoneticPr fontId="3"/>
  </si>
  <si>
    <t>※１：  影響商店数は施工中心点より半径100mの円形内に10店舗と仮定。</t>
    <rPh sb="5" eb="7">
      <t>エイキョウ</t>
    </rPh>
    <rPh sb="7" eb="10">
      <t>ショウテンスウ</t>
    </rPh>
    <rPh sb="11" eb="13">
      <t>セコウ</t>
    </rPh>
    <rPh sb="13" eb="15">
      <t>チュウシン</t>
    </rPh>
    <rPh sb="15" eb="16">
      <t>テン</t>
    </rPh>
    <rPh sb="18" eb="20">
      <t>ハンケイ</t>
    </rPh>
    <rPh sb="25" eb="27">
      <t>エンケイ</t>
    </rPh>
    <rPh sb="27" eb="28">
      <t>ナイ</t>
    </rPh>
    <rPh sb="31" eb="33">
      <t>テンポ</t>
    </rPh>
    <rPh sb="34" eb="36">
      <t>カテイ</t>
    </rPh>
    <phoneticPr fontId="3"/>
  </si>
  <si>
    <t>※２：　停電発生率は、開削工事で0.0027（工事期間365日に1回発生）、非開削工事で0.0014（工事365日に0.5回発生）と仮定。</t>
    <rPh sb="4" eb="6">
      <t>テイデン</t>
    </rPh>
    <rPh sb="6" eb="8">
      <t>ハッセイ</t>
    </rPh>
    <rPh sb="8" eb="9">
      <t>リツ</t>
    </rPh>
    <rPh sb="11" eb="13">
      <t>カイサク</t>
    </rPh>
    <rPh sb="13" eb="15">
      <t>コウジ</t>
    </rPh>
    <rPh sb="23" eb="25">
      <t>コウジ</t>
    </rPh>
    <rPh sb="25" eb="27">
      <t>キカン</t>
    </rPh>
    <rPh sb="30" eb="31">
      <t>ニチ</t>
    </rPh>
    <rPh sb="33" eb="34">
      <t>カイ</t>
    </rPh>
    <rPh sb="34" eb="36">
      <t>ハッセイ</t>
    </rPh>
    <rPh sb="38" eb="39">
      <t>ヒ</t>
    </rPh>
    <rPh sb="39" eb="41">
      <t>カイサク</t>
    </rPh>
    <rPh sb="41" eb="43">
      <t>コウジ</t>
    </rPh>
    <rPh sb="56" eb="57">
      <t>ニチ</t>
    </rPh>
    <rPh sb="66" eb="68">
      <t>カテイ</t>
    </rPh>
    <phoneticPr fontId="3"/>
  </si>
  <si>
    <t>※１ 試算　　　　　仮定値</t>
    <rPh sb="3" eb="5">
      <t>シサン</t>
    </rPh>
    <rPh sb="10" eb="12">
      <t>カテイ</t>
    </rPh>
    <rPh sb="12" eb="13">
      <t>アタイ</t>
    </rPh>
    <phoneticPr fontId="3"/>
  </si>
  <si>
    <t>※３ 試算　　　　　　仮定値</t>
    <rPh sb="3" eb="5">
      <t>シサン</t>
    </rPh>
    <rPh sb="11" eb="13">
      <t>カテイ</t>
    </rPh>
    <rPh sb="13" eb="14">
      <t>アタイ</t>
    </rPh>
    <phoneticPr fontId="3"/>
  </si>
  <si>
    <t>※４ 試算　　　　　　　仮定値</t>
    <rPh sb="3" eb="5">
      <t>シサン</t>
    </rPh>
    <rPh sb="12" eb="14">
      <t>カテイ</t>
    </rPh>
    <rPh sb="14" eb="15">
      <t>アタイ</t>
    </rPh>
    <phoneticPr fontId="3"/>
  </si>
  <si>
    <t>※１：　影響商店数は施工中心点より半径100mの円形内に１０店舗と仮定。</t>
    <rPh sb="4" eb="6">
      <t>エイキョウ</t>
    </rPh>
    <rPh sb="6" eb="8">
      <t>ショウテン</t>
    </rPh>
    <rPh sb="8" eb="9">
      <t>スウ</t>
    </rPh>
    <rPh sb="10" eb="12">
      <t>セコウ</t>
    </rPh>
    <rPh sb="12" eb="15">
      <t>チュウシンテン</t>
    </rPh>
    <rPh sb="17" eb="19">
      <t>ハンケイ</t>
    </rPh>
    <rPh sb="24" eb="25">
      <t>エン</t>
    </rPh>
    <rPh sb="25" eb="26">
      <t>ケイ</t>
    </rPh>
    <rPh sb="26" eb="27">
      <t>ナイ</t>
    </rPh>
    <rPh sb="30" eb="32">
      <t>テンポ</t>
    </rPh>
    <rPh sb="33" eb="35">
      <t>カテイ</t>
    </rPh>
    <phoneticPr fontId="3"/>
  </si>
  <si>
    <t>※２：  断水発生率は、開削工事で0.0027（工事期間365日に1回発生）、非開削工事で0.0014（工事365日に0.5回発生）と仮定。</t>
    <rPh sb="5" eb="7">
      <t>ダンスイ</t>
    </rPh>
    <rPh sb="7" eb="9">
      <t>ハッセイ</t>
    </rPh>
    <rPh sb="9" eb="10">
      <t>リツ</t>
    </rPh>
    <rPh sb="12" eb="14">
      <t>カイサク</t>
    </rPh>
    <rPh sb="14" eb="16">
      <t>コウジ</t>
    </rPh>
    <rPh sb="24" eb="26">
      <t>コウジ</t>
    </rPh>
    <rPh sb="26" eb="28">
      <t>キカン</t>
    </rPh>
    <rPh sb="31" eb="32">
      <t>ニチ</t>
    </rPh>
    <rPh sb="34" eb="35">
      <t>カイ</t>
    </rPh>
    <rPh sb="35" eb="37">
      <t>ハッセイ</t>
    </rPh>
    <rPh sb="39" eb="40">
      <t>ヒ</t>
    </rPh>
    <rPh sb="40" eb="42">
      <t>カイサク</t>
    </rPh>
    <rPh sb="42" eb="44">
      <t>コウジ</t>
    </rPh>
    <rPh sb="57" eb="58">
      <t>ニチ</t>
    </rPh>
    <rPh sb="67" eb="69">
      <t>カテイ</t>
    </rPh>
    <phoneticPr fontId="3"/>
  </si>
  <si>
    <t>※３：　１回の断水の断水時間は、１日と仮定。</t>
    <rPh sb="5" eb="6">
      <t>カイ</t>
    </rPh>
    <rPh sb="7" eb="9">
      <t>ダンスイ</t>
    </rPh>
    <rPh sb="10" eb="12">
      <t>ダンスイ</t>
    </rPh>
    <rPh sb="12" eb="14">
      <t>ジカン</t>
    </rPh>
    <rPh sb="17" eb="18">
      <t>ヒ</t>
    </rPh>
    <rPh sb="19" eb="21">
      <t>カテイ</t>
    </rPh>
    <phoneticPr fontId="3"/>
  </si>
  <si>
    <t>※４：　商店の1日の使用水量は２０㎥と仮定。</t>
    <rPh sb="4" eb="6">
      <t>ショウテン</t>
    </rPh>
    <rPh sb="8" eb="9">
      <t>ヒ</t>
    </rPh>
    <rPh sb="10" eb="12">
      <t>シヨウ</t>
    </rPh>
    <rPh sb="12" eb="14">
      <t>スイリョウ</t>
    </rPh>
    <rPh sb="19" eb="21">
      <t>カテイ</t>
    </rPh>
    <phoneticPr fontId="3"/>
  </si>
  <si>
    <t>⑦＝
（（⑤/1000）
/⑥）*60</t>
    <phoneticPr fontId="3"/>
  </si>
  <si>
    <t>表-3　　　（P59）</t>
    <rPh sb="0" eb="1">
      <t>ヒョウ</t>
    </rPh>
    <phoneticPr fontId="3"/>
  </si>
  <si>
    <t>表-3　　(P59)</t>
    <rPh sb="0" eb="1">
      <t>ヒョウ</t>
    </rPh>
    <phoneticPr fontId="3"/>
  </si>
  <si>
    <t>表-3　　　　　　　　　　　（P59)</t>
    <rPh sb="0" eb="1">
      <t>ヒョウ</t>
    </rPh>
    <phoneticPr fontId="3"/>
  </si>
  <si>
    <t>表-３　　（P59)</t>
    <rPh sb="0" eb="1">
      <t>ヒョウ</t>
    </rPh>
    <phoneticPr fontId="3"/>
  </si>
  <si>
    <t>表-３
(P59)</t>
    <rPh sb="0" eb="1">
      <t>ヒョウ</t>
    </rPh>
    <phoneticPr fontId="3"/>
  </si>
  <si>
    <t>表-4　　　　　　　　　　　　（P60）</t>
    <rPh sb="0" eb="1">
      <t>ヒョウ</t>
    </rPh>
    <phoneticPr fontId="3"/>
  </si>
  <si>
    <t>表-３　(P59)</t>
    <rPh sb="0" eb="1">
      <t>ヒョウ</t>
    </rPh>
    <phoneticPr fontId="3"/>
  </si>
  <si>
    <t>表-３　　(P59)</t>
    <rPh sb="0" eb="1">
      <t>ヒョウ</t>
    </rPh>
    <phoneticPr fontId="3"/>
  </si>
  <si>
    <t>表-3　　　(P59)</t>
    <rPh sb="0" eb="1">
      <t>ヒョウ</t>
    </rPh>
    <phoneticPr fontId="3"/>
  </si>
  <si>
    <t>表-3　　（P59）</t>
    <rPh sb="0" eb="1">
      <t>ヒョウ</t>
    </rPh>
    <phoneticPr fontId="3"/>
  </si>
  <si>
    <t>表-3　　　(P53)</t>
    <rPh sb="0" eb="1">
      <t>ヒョウ</t>
    </rPh>
    <phoneticPr fontId="3"/>
  </si>
  <si>
    <t>表14-3 （3.5.4-3）　沿道事業所の停電・断水に関する外部費用（停電・断水増分）(非開削工法・開削工法）</t>
    <phoneticPr fontId="3"/>
  </si>
  <si>
    <t>(回/工事中）</t>
    <rPh sb="1" eb="2">
      <t>カイ</t>
    </rPh>
    <rPh sb="3" eb="5">
      <t>コウジ</t>
    </rPh>
    <rPh sb="5" eb="6">
      <t>チュウ</t>
    </rPh>
    <phoneticPr fontId="3"/>
  </si>
  <si>
    <t>⑤＝((①*②)/
(365*24))*④</t>
    <phoneticPr fontId="3"/>
  </si>
  <si>
    <t>⑧＝（(①*②)/
(365*24)）*⑦</t>
    <phoneticPr fontId="3"/>
  </si>
  <si>
    <t>⑧＝
⑤*⑥*⑦</t>
    <phoneticPr fontId="3"/>
  </si>
  <si>
    <t>⑩＝
③*⑧*⑨</t>
    <phoneticPr fontId="3"/>
  </si>
  <si>
    <t>⑦＝
③*⑤*⑥</t>
    <phoneticPr fontId="3"/>
  </si>
  <si>
    <t>※１：　影響事業所数は施工中心点より半径100mの円形内に1事業所と仮定。</t>
    <rPh sb="4" eb="6">
      <t>エイキョウ</t>
    </rPh>
    <rPh sb="6" eb="9">
      <t>ジギョウショ</t>
    </rPh>
    <rPh sb="9" eb="10">
      <t>スウ</t>
    </rPh>
    <rPh sb="11" eb="13">
      <t>セコウ</t>
    </rPh>
    <rPh sb="13" eb="15">
      <t>チュウシン</t>
    </rPh>
    <rPh sb="15" eb="16">
      <t>テン</t>
    </rPh>
    <rPh sb="18" eb="20">
      <t>ハンケイ</t>
    </rPh>
    <rPh sb="25" eb="27">
      <t>エンケイ</t>
    </rPh>
    <rPh sb="27" eb="28">
      <t>ナイ</t>
    </rPh>
    <rPh sb="30" eb="33">
      <t>ジギョウショ</t>
    </rPh>
    <rPh sb="34" eb="36">
      <t>カテイ</t>
    </rPh>
    <phoneticPr fontId="3"/>
  </si>
  <si>
    <t>　　　　「両立坑、両マンホールの同時規制」では、2か所での施工となるため影響事業所数を2倍とした。</t>
    <rPh sb="5" eb="6">
      <t>リョウ</t>
    </rPh>
    <rPh sb="6" eb="8">
      <t>タテコウ</t>
    </rPh>
    <rPh sb="9" eb="10">
      <t>リョウ</t>
    </rPh>
    <rPh sb="16" eb="18">
      <t>ドウジ</t>
    </rPh>
    <rPh sb="18" eb="20">
      <t>キセイ</t>
    </rPh>
    <rPh sb="26" eb="27">
      <t>ショ</t>
    </rPh>
    <rPh sb="29" eb="31">
      <t>セコウ</t>
    </rPh>
    <rPh sb="36" eb="38">
      <t>エイキョウ</t>
    </rPh>
    <rPh sb="38" eb="41">
      <t>ジギョウショ</t>
    </rPh>
    <rPh sb="41" eb="42">
      <t>カズ</t>
    </rPh>
    <rPh sb="44" eb="45">
      <t>バイ</t>
    </rPh>
    <phoneticPr fontId="3"/>
  </si>
  <si>
    <t>※２： 停電発生率は、開削工事で0.0027（工事期間365日に1回発生）、非開削工事で0.0014（工事365日に0.5回発生）と仮定。</t>
    <rPh sb="4" eb="6">
      <t>テイデン</t>
    </rPh>
    <rPh sb="6" eb="8">
      <t>ハッセイ</t>
    </rPh>
    <rPh sb="8" eb="9">
      <t>リツ</t>
    </rPh>
    <rPh sb="11" eb="13">
      <t>カイサク</t>
    </rPh>
    <rPh sb="13" eb="15">
      <t>コウジ</t>
    </rPh>
    <rPh sb="23" eb="25">
      <t>コウジ</t>
    </rPh>
    <rPh sb="25" eb="27">
      <t>キカン</t>
    </rPh>
    <rPh sb="30" eb="31">
      <t>ニチ</t>
    </rPh>
    <rPh sb="33" eb="34">
      <t>カイ</t>
    </rPh>
    <rPh sb="34" eb="36">
      <t>ハッセイ</t>
    </rPh>
    <rPh sb="38" eb="39">
      <t>ヒ</t>
    </rPh>
    <rPh sb="39" eb="41">
      <t>カイサク</t>
    </rPh>
    <rPh sb="41" eb="43">
      <t>コウジ</t>
    </rPh>
    <rPh sb="56" eb="57">
      <t>ニチ</t>
    </rPh>
    <rPh sb="66" eb="68">
      <t>カテイ</t>
    </rPh>
    <phoneticPr fontId="3"/>
  </si>
  <si>
    <t>※２ 試算　　　　　　　仮定値</t>
    <rPh sb="3" eb="5">
      <t>シサン</t>
    </rPh>
    <rPh sb="12" eb="14">
      <t>カテイ</t>
    </rPh>
    <rPh sb="14" eb="15">
      <t>アタイ</t>
    </rPh>
    <phoneticPr fontId="3"/>
  </si>
  <si>
    <t>※３ 試算　　　　    　仮定値</t>
    <rPh sb="3" eb="5">
      <t>シサン</t>
    </rPh>
    <rPh sb="14" eb="16">
      <t>カテイ</t>
    </rPh>
    <rPh sb="16" eb="17">
      <t>アタイ</t>
    </rPh>
    <phoneticPr fontId="3"/>
  </si>
  <si>
    <t>参考2　　　　　　　　　(P36）</t>
    <rPh sb="0" eb="2">
      <t>サンコウ</t>
    </rPh>
    <phoneticPr fontId="3"/>
  </si>
  <si>
    <t>※１：　影響事業所数は施工中心点より半径100mの円形内に1事業所と仮定。</t>
    <phoneticPr fontId="3"/>
  </si>
  <si>
    <t>　　　　「両立坑、両マンホールの同時規制」では、2か所での施工となるため影響事業所数を2倍とした。</t>
    <rPh sb="5" eb="6">
      <t>リョウ</t>
    </rPh>
    <rPh sb="6" eb="8">
      <t>タテコウ</t>
    </rPh>
    <rPh sb="9" eb="10">
      <t>リョウ</t>
    </rPh>
    <rPh sb="16" eb="18">
      <t>ドウジ</t>
    </rPh>
    <rPh sb="18" eb="20">
      <t>キセイ</t>
    </rPh>
    <rPh sb="26" eb="27">
      <t>ショ</t>
    </rPh>
    <rPh sb="29" eb="31">
      <t>セコウ</t>
    </rPh>
    <rPh sb="36" eb="38">
      <t>エイキョウ</t>
    </rPh>
    <rPh sb="38" eb="41">
      <t>ジギョウショ</t>
    </rPh>
    <rPh sb="41" eb="42">
      <t>スウ</t>
    </rPh>
    <rPh sb="44" eb="45">
      <t>バイ</t>
    </rPh>
    <phoneticPr fontId="3"/>
  </si>
  <si>
    <t>※２： 断水発生率は、開削工事で0.0027（工事期間365日に1回発生）、非開削工事で0.0014（工事365日に0.5回発生）と仮定。</t>
    <rPh sb="4" eb="6">
      <t>ダンスイ</t>
    </rPh>
    <rPh sb="6" eb="8">
      <t>ハッセイ</t>
    </rPh>
    <rPh sb="8" eb="9">
      <t>リツ</t>
    </rPh>
    <rPh sb="11" eb="13">
      <t>カイサク</t>
    </rPh>
    <rPh sb="13" eb="15">
      <t>コウジ</t>
    </rPh>
    <rPh sb="23" eb="25">
      <t>コウジ</t>
    </rPh>
    <rPh sb="25" eb="27">
      <t>キカン</t>
    </rPh>
    <rPh sb="30" eb="31">
      <t>ニチ</t>
    </rPh>
    <rPh sb="33" eb="34">
      <t>カイ</t>
    </rPh>
    <rPh sb="34" eb="36">
      <t>ハッセイ</t>
    </rPh>
    <rPh sb="38" eb="39">
      <t>ヒ</t>
    </rPh>
    <rPh sb="39" eb="41">
      <t>カイサク</t>
    </rPh>
    <rPh sb="41" eb="43">
      <t>コウジ</t>
    </rPh>
    <rPh sb="56" eb="57">
      <t>ニチ</t>
    </rPh>
    <rPh sb="66" eb="68">
      <t>カテイ</t>
    </rPh>
    <phoneticPr fontId="3"/>
  </si>
  <si>
    <t>※３： １回の断水の断水時間は、1日と仮定。</t>
    <rPh sb="5" eb="6">
      <t>カイ</t>
    </rPh>
    <rPh sb="7" eb="9">
      <t>ダンスイ</t>
    </rPh>
    <rPh sb="10" eb="12">
      <t>ダンスイ</t>
    </rPh>
    <rPh sb="12" eb="14">
      <t>ジカン</t>
    </rPh>
    <rPh sb="17" eb="18">
      <t>ヒ</t>
    </rPh>
    <rPh sb="19" eb="21">
      <t>カテイ</t>
    </rPh>
    <phoneticPr fontId="3"/>
  </si>
  <si>
    <t>※４： 事業所の1日の使用水量は100㎥と仮定。</t>
    <rPh sb="4" eb="7">
      <t>ジギョウショ</t>
    </rPh>
    <rPh sb="9" eb="10">
      <t>ヒ</t>
    </rPh>
    <rPh sb="11" eb="13">
      <t>シヨウ</t>
    </rPh>
    <rPh sb="13" eb="15">
      <t>スイリョウ</t>
    </rPh>
    <rPh sb="21" eb="23">
      <t>カテイ</t>
    </rPh>
    <phoneticPr fontId="3"/>
  </si>
  <si>
    <t>※１：　外出者数は５０人／時間と仮定。</t>
    <rPh sb="4" eb="6">
      <t>ガイシュツ</t>
    </rPh>
    <rPh sb="6" eb="7">
      <t>シャ</t>
    </rPh>
    <rPh sb="7" eb="8">
      <t>カズ</t>
    </rPh>
    <rPh sb="11" eb="12">
      <t>ニン</t>
    </rPh>
    <rPh sb="13" eb="15">
      <t>ジカン</t>
    </rPh>
    <rPh sb="16" eb="18">
      <t>カテイ</t>
    </rPh>
    <phoneticPr fontId="3"/>
  </si>
  <si>
    <t>　　　　「両立坑、両マンホールの同時規制」では、2か所での施工となるため外出者数を2倍とした。</t>
    <rPh sb="5" eb="6">
      <t>リョウ</t>
    </rPh>
    <rPh sb="6" eb="8">
      <t>タテコウ</t>
    </rPh>
    <rPh sb="9" eb="10">
      <t>リョウ</t>
    </rPh>
    <rPh sb="16" eb="18">
      <t>ドウジ</t>
    </rPh>
    <rPh sb="18" eb="20">
      <t>キセイ</t>
    </rPh>
    <rPh sb="26" eb="27">
      <t>ショ</t>
    </rPh>
    <rPh sb="29" eb="31">
      <t>セコウ</t>
    </rPh>
    <rPh sb="36" eb="38">
      <t>ガイシュツ</t>
    </rPh>
    <rPh sb="38" eb="39">
      <t>シャ</t>
    </rPh>
    <rPh sb="39" eb="40">
      <t>カズ</t>
    </rPh>
    <rPh sb="42" eb="43">
      <t>バイ</t>
    </rPh>
    <phoneticPr fontId="3"/>
  </si>
  <si>
    <t>※２：　外出断念率は外出者５０名の５名が外出を断念と仮定（１０％）。</t>
    <rPh sb="4" eb="6">
      <t>ガイシュツ</t>
    </rPh>
    <rPh sb="6" eb="8">
      <t>ダンネン</t>
    </rPh>
    <rPh sb="8" eb="9">
      <t>リツ</t>
    </rPh>
    <rPh sb="10" eb="12">
      <t>ガイシュツ</t>
    </rPh>
    <rPh sb="12" eb="13">
      <t>シャ</t>
    </rPh>
    <rPh sb="15" eb="16">
      <t>ナ</t>
    </rPh>
    <rPh sb="18" eb="19">
      <t>ナ</t>
    </rPh>
    <rPh sb="20" eb="22">
      <t>ガイシュツ</t>
    </rPh>
    <rPh sb="23" eb="25">
      <t>ダンネン</t>
    </rPh>
    <rPh sb="26" eb="28">
      <t>カテイ</t>
    </rPh>
    <phoneticPr fontId="3"/>
  </si>
  <si>
    <t>表15-2（3.5.5-2）　沿道居住者の外出行動に関する外部費用（外出方法変更増分）（非開削工法・開削工法）</t>
    <phoneticPr fontId="3"/>
  </si>
  <si>
    <t>(円/分・人)</t>
    <rPh sb="1" eb="2">
      <t>エン</t>
    </rPh>
    <rPh sb="3" eb="4">
      <t>フン</t>
    </rPh>
    <rPh sb="5" eb="6">
      <t>ニン</t>
    </rPh>
    <phoneticPr fontId="3"/>
  </si>
  <si>
    <t>表-3　　　　　（P59)</t>
    <rPh sb="0" eb="1">
      <t>ヒョウ</t>
    </rPh>
    <phoneticPr fontId="3"/>
  </si>
  <si>
    <t>⑦＝
①*②*③*④*⑤*⑥</t>
    <phoneticPr fontId="3"/>
  </si>
  <si>
    <t>※１ 試算　　　仮定値</t>
    <rPh sb="3" eb="5">
      <t>シサン</t>
    </rPh>
    <rPh sb="8" eb="10">
      <t>カテイ</t>
    </rPh>
    <rPh sb="10" eb="11">
      <t>アタイ</t>
    </rPh>
    <phoneticPr fontId="3"/>
  </si>
  <si>
    <t>※３  試算　　　　　　　　　　　　　仮定値</t>
    <rPh sb="4" eb="6">
      <t>シサン</t>
    </rPh>
    <rPh sb="19" eb="21">
      <t>カテイ</t>
    </rPh>
    <rPh sb="21" eb="22">
      <t>アタイ</t>
    </rPh>
    <phoneticPr fontId="3"/>
  </si>
  <si>
    <t>※２：　外出方法変更率は、例えば車での外出を歩行での外出に変更する場合などを言い、50人中2.5人（5%)と仮定。</t>
    <rPh sb="4" eb="6">
      <t>ガイシュツ</t>
    </rPh>
    <rPh sb="6" eb="8">
      <t>ホウホウ</t>
    </rPh>
    <rPh sb="8" eb="10">
      <t>ヘンコウ</t>
    </rPh>
    <rPh sb="10" eb="11">
      <t>リツ</t>
    </rPh>
    <rPh sb="13" eb="14">
      <t>タト</t>
    </rPh>
    <rPh sb="16" eb="17">
      <t>クルマ</t>
    </rPh>
    <rPh sb="19" eb="21">
      <t>ガイシュツ</t>
    </rPh>
    <rPh sb="22" eb="24">
      <t>ホコウ</t>
    </rPh>
    <rPh sb="26" eb="28">
      <t>ガイシュツ</t>
    </rPh>
    <rPh sb="29" eb="31">
      <t>ヘンコウ</t>
    </rPh>
    <rPh sb="33" eb="35">
      <t>バアイ</t>
    </rPh>
    <rPh sb="38" eb="39">
      <t>イ</t>
    </rPh>
    <rPh sb="43" eb="44">
      <t>ニン</t>
    </rPh>
    <rPh sb="44" eb="45">
      <t>チュウ</t>
    </rPh>
    <rPh sb="48" eb="49">
      <t>ニン</t>
    </rPh>
    <rPh sb="54" eb="56">
      <t>カテイ</t>
    </rPh>
    <phoneticPr fontId="3"/>
  </si>
  <si>
    <t>※３：　外出方法変更による時間ロスは、車での外出を歩行での外出に変更する場合のロスを30分と仮定。</t>
    <rPh sb="4" eb="6">
      <t>ガイシュツ</t>
    </rPh>
    <rPh sb="6" eb="8">
      <t>ホウホウ</t>
    </rPh>
    <rPh sb="8" eb="10">
      <t>ヘンコウ</t>
    </rPh>
    <rPh sb="13" eb="15">
      <t>ジカン</t>
    </rPh>
    <rPh sb="19" eb="20">
      <t>クルマ</t>
    </rPh>
    <rPh sb="22" eb="24">
      <t>ガイシュツ</t>
    </rPh>
    <rPh sb="25" eb="27">
      <t>ホコウ</t>
    </rPh>
    <rPh sb="29" eb="31">
      <t>ガイシュツ</t>
    </rPh>
    <rPh sb="32" eb="34">
      <t>ヘンコウ</t>
    </rPh>
    <rPh sb="36" eb="38">
      <t>バアイ</t>
    </rPh>
    <rPh sb="44" eb="45">
      <t>フン</t>
    </rPh>
    <rPh sb="46" eb="48">
      <t>カテイ</t>
    </rPh>
    <phoneticPr fontId="3"/>
  </si>
  <si>
    <t>表15-3（3.5.5-3）　沿道居住者の外出行動に関する外部費用（外出時間変更増分）（非開削工法・開削工法）</t>
    <phoneticPr fontId="3"/>
  </si>
  <si>
    <t>　　　　 通勤・通学以外の時間帯を9～20時と仮定すると、工事規制時間9～18時と重なる時間帯は計9時間/日となる。</t>
    <rPh sb="5" eb="7">
      <t>ツウキン</t>
    </rPh>
    <rPh sb="8" eb="10">
      <t>ツウガク</t>
    </rPh>
    <rPh sb="10" eb="12">
      <t>イガイ</t>
    </rPh>
    <rPh sb="13" eb="16">
      <t>ジカンタイ</t>
    </rPh>
    <rPh sb="21" eb="22">
      <t>ジ</t>
    </rPh>
    <rPh sb="23" eb="25">
      <t>カテイ</t>
    </rPh>
    <rPh sb="29" eb="31">
      <t>コウジ</t>
    </rPh>
    <rPh sb="31" eb="33">
      <t>キセイ</t>
    </rPh>
    <rPh sb="33" eb="35">
      <t>ジカン</t>
    </rPh>
    <rPh sb="39" eb="40">
      <t>ジ</t>
    </rPh>
    <rPh sb="41" eb="42">
      <t>カサ</t>
    </rPh>
    <rPh sb="44" eb="47">
      <t>ジカンタイ</t>
    </rPh>
    <rPh sb="48" eb="49">
      <t>ケイ</t>
    </rPh>
    <rPh sb="50" eb="52">
      <t>ジカン</t>
    </rPh>
    <rPh sb="53" eb="54">
      <t>ニチ</t>
    </rPh>
    <phoneticPr fontId="3"/>
  </si>
  <si>
    <t>表2-2４　　　（P37)</t>
    <rPh sb="0" eb="1">
      <t>ヒョウ</t>
    </rPh>
    <phoneticPr fontId="3"/>
  </si>
  <si>
    <t>※２  試算　　　仮定値</t>
    <rPh sb="4" eb="6">
      <t>シサン</t>
    </rPh>
    <rPh sb="9" eb="11">
      <t>カテイ</t>
    </rPh>
    <rPh sb="11" eb="12">
      <t>アタイ</t>
    </rPh>
    <phoneticPr fontId="3"/>
  </si>
  <si>
    <t>※１：　通勤・通学時間帯を6～9時、15～23時と仮定すると、工事規制時間9～18時と重なる時間帯は計3時間/日となる。</t>
    <rPh sb="4" eb="6">
      <t>ツウキン</t>
    </rPh>
    <rPh sb="7" eb="9">
      <t>ツウガク</t>
    </rPh>
    <rPh sb="9" eb="12">
      <t>ジカンタイ</t>
    </rPh>
    <rPh sb="16" eb="17">
      <t>ジ</t>
    </rPh>
    <rPh sb="23" eb="24">
      <t>ジ</t>
    </rPh>
    <rPh sb="25" eb="27">
      <t>カテイ</t>
    </rPh>
    <rPh sb="31" eb="33">
      <t>コウジ</t>
    </rPh>
    <rPh sb="33" eb="35">
      <t>キセイ</t>
    </rPh>
    <rPh sb="35" eb="37">
      <t>ジカン</t>
    </rPh>
    <rPh sb="41" eb="42">
      <t>ジ</t>
    </rPh>
    <rPh sb="43" eb="44">
      <t>カサ</t>
    </rPh>
    <rPh sb="46" eb="49">
      <t>ジカンタイ</t>
    </rPh>
    <rPh sb="50" eb="51">
      <t>ケイ</t>
    </rPh>
    <rPh sb="52" eb="54">
      <t>ジカン</t>
    </rPh>
    <rPh sb="55" eb="56">
      <t>ニチ</t>
    </rPh>
    <phoneticPr fontId="3"/>
  </si>
  <si>
    <t>※２：　外出者数は５０人／時間と仮定。</t>
    <rPh sb="4" eb="6">
      <t>ガイシュツ</t>
    </rPh>
    <rPh sb="6" eb="7">
      <t>シャ</t>
    </rPh>
    <rPh sb="7" eb="8">
      <t>カズ</t>
    </rPh>
    <rPh sb="11" eb="12">
      <t>ニン</t>
    </rPh>
    <rPh sb="13" eb="15">
      <t>ジカン</t>
    </rPh>
    <rPh sb="16" eb="18">
      <t>カテイ</t>
    </rPh>
    <phoneticPr fontId="3"/>
  </si>
  <si>
    <t>　　　　「両立坑、両マンホールの同時規制」では、2か所での施工となるため対象外出者数を2倍とした。</t>
    <rPh sb="5" eb="6">
      <t>リョウ</t>
    </rPh>
    <rPh sb="6" eb="8">
      <t>タテコウ</t>
    </rPh>
    <rPh sb="9" eb="10">
      <t>リョウ</t>
    </rPh>
    <rPh sb="16" eb="18">
      <t>ドウジ</t>
    </rPh>
    <rPh sb="18" eb="20">
      <t>キセイ</t>
    </rPh>
    <rPh sb="26" eb="27">
      <t>ショ</t>
    </rPh>
    <rPh sb="29" eb="31">
      <t>セコウ</t>
    </rPh>
    <rPh sb="36" eb="38">
      <t>タイショウ</t>
    </rPh>
    <rPh sb="38" eb="40">
      <t>ガイシュツ</t>
    </rPh>
    <rPh sb="40" eb="41">
      <t>シャ</t>
    </rPh>
    <rPh sb="41" eb="42">
      <t>カズ</t>
    </rPh>
    <rPh sb="44" eb="45">
      <t>バイ</t>
    </rPh>
    <phoneticPr fontId="3"/>
  </si>
  <si>
    <t>表16-1（3.5.6-1）　沿道商業活動に関する外部費用（搬出入変更増分）（非開削工法・開削工法）</t>
  </si>
  <si>
    <t>搬出入
変更（ロス）
時間</t>
    <rPh sb="0" eb="3">
      <t>ハンシュツニュウ</t>
    </rPh>
    <rPh sb="4" eb="6">
      <t>ヘンコウ</t>
    </rPh>
    <rPh sb="11" eb="13">
      <t>ジカン</t>
    </rPh>
    <phoneticPr fontId="3"/>
  </si>
  <si>
    <t>(時間/日)</t>
    <rPh sb="1" eb="2">
      <t>ジ</t>
    </rPh>
    <rPh sb="2" eb="3">
      <t>アイダ</t>
    </rPh>
    <rPh sb="4" eb="5">
      <t>ヒ</t>
    </rPh>
    <phoneticPr fontId="3"/>
  </si>
  <si>
    <t>(時間/日)</t>
    <rPh sb="1" eb="2">
      <t>ジ</t>
    </rPh>
    <rPh sb="2" eb="3">
      <t>アイダ</t>
    </rPh>
    <rPh sb="4" eb="5">
      <t>ニチ</t>
    </rPh>
    <phoneticPr fontId="3"/>
  </si>
  <si>
    <t>※２ 試算　　　　　　　　　　仮定値</t>
    <rPh sb="3" eb="5">
      <t>シサン</t>
    </rPh>
    <rPh sb="15" eb="17">
      <t>カテイ</t>
    </rPh>
    <rPh sb="17" eb="18">
      <t>アタイ</t>
    </rPh>
    <phoneticPr fontId="3"/>
  </si>
  <si>
    <t>※３ 試算　　　　　　　仮定値</t>
    <rPh sb="3" eb="5">
      <t>シサン</t>
    </rPh>
    <rPh sb="12" eb="14">
      <t>カテイ</t>
    </rPh>
    <rPh sb="14" eb="15">
      <t>アタイ</t>
    </rPh>
    <phoneticPr fontId="3"/>
  </si>
  <si>
    <t>※１：　影響商店数は施工中心点より半径100mの円形内に10店舗と仮定。</t>
    <phoneticPr fontId="3"/>
  </si>
  <si>
    <t>　　　　「両立坑、両マンホールの同時規制」では、2か所での施工となるため影響商店数を2倍とした。</t>
    <rPh sb="5" eb="6">
      <t>リョウ</t>
    </rPh>
    <rPh sb="6" eb="8">
      <t>タテコウ</t>
    </rPh>
    <rPh sb="9" eb="10">
      <t>リョウ</t>
    </rPh>
    <rPh sb="16" eb="18">
      <t>ドウジ</t>
    </rPh>
    <rPh sb="18" eb="20">
      <t>キセイ</t>
    </rPh>
    <rPh sb="26" eb="27">
      <t>ショ</t>
    </rPh>
    <rPh sb="29" eb="31">
      <t>セコウ</t>
    </rPh>
    <rPh sb="36" eb="38">
      <t>エイキョウ</t>
    </rPh>
    <rPh sb="38" eb="40">
      <t>ショウテン</t>
    </rPh>
    <rPh sb="40" eb="41">
      <t>スウ</t>
    </rPh>
    <rPh sb="43" eb="44">
      <t>バイ</t>
    </rPh>
    <phoneticPr fontId="3"/>
  </si>
  <si>
    <t>※２：　規制により、搬出入作業の時間変更（ロス）が１時間/日発生すると仮定。</t>
    <rPh sb="4" eb="6">
      <t>キセイ</t>
    </rPh>
    <rPh sb="10" eb="13">
      <t>ハンシュツニュウ</t>
    </rPh>
    <rPh sb="13" eb="15">
      <t>サギョウ</t>
    </rPh>
    <rPh sb="16" eb="18">
      <t>ジカン</t>
    </rPh>
    <rPh sb="18" eb="20">
      <t>ヘンコウ</t>
    </rPh>
    <rPh sb="26" eb="28">
      <t>ジカン</t>
    </rPh>
    <rPh sb="29" eb="30">
      <t>ニチ</t>
    </rPh>
    <rPh sb="30" eb="32">
      <t>ハッセイ</t>
    </rPh>
    <rPh sb="35" eb="37">
      <t>カテイ</t>
    </rPh>
    <phoneticPr fontId="3"/>
  </si>
  <si>
    <t>※３：　規制により、搬出入作業員2名（2,000円/人・時）分の人件費が増加するものと仮定。</t>
    <rPh sb="4" eb="6">
      <t>キセイ</t>
    </rPh>
    <rPh sb="10" eb="13">
      <t>ハンシュツニュウ</t>
    </rPh>
    <rPh sb="13" eb="16">
      <t>サギョウイン</t>
    </rPh>
    <rPh sb="17" eb="18">
      <t>メイ</t>
    </rPh>
    <rPh sb="24" eb="25">
      <t>エン</t>
    </rPh>
    <rPh sb="26" eb="27">
      <t>ニン</t>
    </rPh>
    <rPh sb="28" eb="29">
      <t>ジ</t>
    </rPh>
    <rPh sb="30" eb="31">
      <t>ブン</t>
    </rPh>
    <rPh sb="32" eb="35">
      <t>ジンケンヒ</t>
    </rPh>
    <rPh sb="36" eb="38">
      <t>ゾウカ</t>
    </rPh>
    <rPh sb="43" eb="45">
      <t>カテイ</t>
    </rPh>
    <phoneticPr fontId="3"/>
  </si>
  <si>
    <t>表16-2（3.5.6-2）　沿道事業活動に関する外部費用（搬出入変更増分）（非開削工法・開削工法）</t>
    <phoneticPr fontId="3"/>
  </si>
  <si>
    <t>⑥＝
①*③*④*⑤</t>
    <phoneticPr fontId="3"/>
  </si>
  <si>
    <t>表-3　(P59)</t>
    <rPh sb="0" eb="1">
      <t>ヒョウ</t>
    </rPh>
    <phoneticPr fontId="3"/>
  </si>
  <si>
    <t>(時間/日)</t>
    <rPh sb="1" eb="3">
      <t>ジカン</t>
    </rPh>
    <rPh sb="4" eb="5">
      <t>ニチ</t>
    </rPh>
    <phoneticPr fontId="3"/>
  </si>
  <si>
    <t>※３　試算　　　　　　　　仮定値</t>
    <rPh sb="3" eb="5">
      <t>シサン</t>
    </rPh>
    <rPh sb="13" eb="15">
      <t>カテイ</t>
    </rPh>
    <rPh sb="15" eb="16">
      <t>アタイ</t>
    </rPh>
    <phoneticPr fontId="3"/>
  </si>
  <si>
    <t>※１：　影響事業所数は施工中心点より半径100mの円形内に10か所と仮定。</t>
    <phoneticPr fontId="3"/>
  </si>
  <si>
    <t>※２：　規制により、搬出入作業の時間変更（ロス）が１時間/日発生すると仮定。</t>
    <phoneticPr fontId="3"/>
  </si>
  <si>
    <t>※３：　規制により、搬出入作業員2名（2,000円/人時）分の人件費が増加するものと仮定。</t>
    <rPh sb="4" eb="6">
      <t>キセイ</t>
    </rPh>
    <phoneticPr fontId="3"/>
  </si>
  <si>
    <t>（円/工事）</t>
    <rPh sb="1" eb="2">
      <t>エン</t>
    </rPh>
    <rPh sb="3" eb="5">
      <t>コウジ</t>
    </rPh>
    <phoneticPr fontId="9"/>
  </si>
  <si>
    <t>④＝　　　　②×③</t>
    <phoneticPr fontId="3"/>
  </si>
  <si>
    <t>工法別の土砂掘削量に関する外部費用(環境負荷）</t>
    <rPh sb="0" eb="2">
      <t>コウホウ</t>
    </rPh>
    <rPh sb="2" eb="3">
      <t>ベツ</t>
    </rPh>
    <rPh sb="4" eb="6">
      <t>ドシャ</t>
    </rPh>
    <rPh sb="6" eb="8">
      <t>クッサク</t>
    </rPh>
    <rPh sb="8" eb="9">
      <t>リョウ</t>
    </rPh>
    <rPh sb="10" eb="11">
      <t>カン</t>
    </rPh>
    <rPh sb="13" eb="15">
      <t>ガイブ</t>
    </rPh>
    <rPh sb="15" eb="17">
      <t>ヒヨウ</t>
    </rPh>
    <rPh sb="18" eb="20">
      <t>カンキョウ</t>
    </rPh>
    <rPh sb="20" eb="22">
      <t>フカ</t>
    </rPh>
    <phoneticPr fontId="3"/>
  </si>
  <si>
    <t>工法別の土砂運搬量に関する外部費用（環境負荷）</t>
    <rPh sb="0" eb="2">
      <t>コウホウ</t>
    </rPh>
    <rPh sb="2" eb="3">
      <t>ベツ</t>
    </rPh>
    <rPh sb="4" eb="6">
      <t>ドシャ</t>
    </rPh>
    <rPh sb="6" eb="8">
      <t>ウンパン</t>
    </rPh>
    <rPh sb="8" eb="9">
      <t>リョウ</t>
    </rPh>
    <rPh sb="10" eb="11">
      <t>カン</t>
    </rPh>
    <rPh sb="13" eb="15">
      <t>ガイブ</t>
    </rPh>
    <rPh sb="15" eb="17">
      <t>ヒヨウ</t>
    </rPh>
    <rPh sb="18" eb="20">
      <t>カンキョウ</t>
    </rPh>
    <rPh sb="20" eb="22">
      <t>フカ</t>
    </rPh>
    <phoneticPr fontId="3"/>
  </si>
  <si>
    <r>
      <t>単位施工長　　　　　あたり
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  <scheme val="major"/>
      </rPr>
      <t>排出量</t>
    </r>
    <rPh sb="0" eb="2">
      <t>タンイ</t>
    </rPh>
    <rPh sb="2" eb="4">
      <t>セコウ</t>
    </rPh>
    <rPh sb="4" eb="5">
      <t>チョウ</t>
    </rPh>
    <rPh sb="17" eb="19">
      <t>ハイシュツ</t>
    </rPh>
    <rPh sb="19" eb="20">
      <t>リョウ</t>
    </rPh>
    <phoneticPr fontId="9"/>
  </si>
  <si>
    <t>排出総量　　　　　（炭素）</t>
    <rPh sb="0" eb="2">
      <t>ハイシュツ</t>
    </rPh>
    <rPh sb="2" eb="3">
      <t>ソウ</t>
    </rPh>
    <rPh sb="3" eb="4">
      <t>リョウ</t>
    </rPh>
    <rPh sb="10" eb="12">
      <t>タンソ</t>
    </rPh>
    <phoneticPr fontId="9"/>
  </si>
  <si>
    <t>土砂掘削　　　　　　外部費用</t>
    <rPh sb="0" eb="2">
      <t>ドシャ</t>
    </rPh>
    <rPh sb="2" eb="4">
      <t>クッサク</t>
    </rPh>
    <rPh sb="10" eb="12">
      <t>ガイブ</t>
    </rPh>
    <rPh sb="12" eb="14">
      <t>ヒヨウ</t>
    </rPh>
    <phoneticPr fontId="9"/>
  </si>
  <si>
    <r>
      <t>単位土量　　　　　あたり
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  <scheme val="major"/>
      </rPr>
      <t>排出量</t>
    </r>
    <rPh sb="0" eb="2">
      <t>タンイ</t>
    </rPh>
    <rPh sb="2" eb="3">
      <t>ツチ</t>
    </rPh>
    <rPh sb="3" eb="4">
      <t>リョウ</t>
    </rPh>
    <rPh sb="4" eb="5">
      <t>コウチョウ</t>
    </rPh>
    <rPh sb="16" eb="18">
      <t>ハイシュツ</t>
    </rPh>
    <rPh sb="18" eb="19">
      <t>リョウ</t>
    </rPh>
    <phoneticPr fontId="9"/>
  </si>
  <si>
    <t>排出総量　　　　　　　　　（炭素）</t>
    <rPh sb="0" eb="2">
      <t>ハイシュツ</t>
    </rPh>
    <rPh sb="2" eb="3">
      <t>ソウ</t>
    </rPh>
    <rPh sb="3" eb="4">
      <t>リョウ</t>
    </rPh>
    <rPh sb="14" eb="16">
      <t>タンソ</t>
    </rPh>
    <phoneticPr fontId="9"/>
  </si>
  <si>
    <t>土砂運搬
外部費用</t>
    <rPh sb="0" eb="2">
      <t>ドシャ</t>
    </rPh>
    <rPh sb="2" eb="4">
      <t>ウンパン</t>
    </rPh>
    <rPh sb="5" eb="7">
      <t>ガイブ</t>
    </rPh>
    <rPh sb="7" eb="9">
      <t>ヒヨウ</t>
    </rPh>
    <phoneticPr fontId="9"/>
  </si>
  <si>
    <r>
      <t>（kg-CO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  <scheme val="major"/>
      </rPr>
      <t>/ｍ）</t>
    </r>
    <phoneticPr fontId="9"/>
  </si>
  <si>
    <r>
      <t>(kg-CO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  <scheme val="major"/>
      </rPr>
      <t>）</t>
    </r>
    <phoneticPr fontId="9"/>
  </si>
  <si>
    <t>※1：　試算　　　　　仮定値</t>
    <rPh sb="4" eb="6">
      <t>シサン</t>
    </rPh>
    <rPh sb="11" eb="13">
      <t>カテイ</t>
    </rPh>
    <rPh sb="13" eb="14">
      <t>アタイ</t>
    </rPh>
    <phoneticPr fontId="9"/>
  </si>
  <si>
    <t>※2： 試算仮定値</t>
    <rPh sb="4" eb="6">
      <t>シサン</t>
    </rPh>
    <rPh sb="6" eb="8">
      <t>カテイ</t>
    </rPh>
    <rPh sb="8" eb="9">
      <t>アタイ</t>
    </rPh>
    <phoneticPr fontId="3"/>
  </si>
  <si>
    <t>　　※１：　非開削工法の管径：φ150×4条の非開削工事を管径600mm泥水式高耐力管小口径推進工事とみなす。</t>
    <phoneticPr fontId="3"/>
  </si>
  <si>
    <t>　　※２：　総土量は、非開削工法では752㎥、開削工法では1,122㎥と計算されている。</t>
    <rPh sb="6" eb="7">
      <t>ソウ</t>
    </rPh>
    <rPh sb="7" eb="8">
      <t>ド</t>
    </rPh>
    <rPh sb="8" eb="9">
      <t>リョウ</t>
    </rPh>
    <rPh sb="11" eb="12">
      <t>ヒ</t>
    </rPh>
    <rPh sb="12" eb="14">
      <t>カイサク</t>
    </rPh>
    <rPh sb="14" eb="16">
      <t>コウホウ</t>
    </rPh>
    <rPh sb="23" eb="25">
      <t>カイサク</t>
    </rPh>
    <rPh sb="25" eb="27">
      <t>コウホウ</t>
    </rPh>
    <rPh sb="36" eb="38">
      <t>ケイサン</t>
    </rPh>
    <phoneticPr fontId="3"/>
  </si>
  <si>
    <t>表-3　　(P59)</t>
    <rPh sb="0" eb="1">
      <t>ヒョウ</t>
    </rPh>
    <phoneticPr fontId="9"/>
  </si>
  <si>
    <t>　　(注）　排出総量（炭素）の計算： 排出総量（炭素）（kg-C）⑤・⑪の数値は、排出総量（二酸化炭素）（kg-CO2）④・⑩の数値に12/44を乗じて求める。（表２－２（P20)参照）</t>
    <rPh sb="3" eb="4">
      <t>チュウ</t>
    </rPh>
    <rPh sb="6" eb="8">
      <t>ハイシュツ</t>
    </rPh>
    <rPh sb="8" eb="10">
      <t>ソウリョウ</t>
    </rPh>
    <rPh sb="11" eb="13">
      <t>タンソ</t>
    </rPh>
    <rPh sb="15" eb="17">
      <t>ケイサン</t>
    </rPh>
    <rPh sb="19" eb="21">
      <t>ハイシュツ</t>
    </rPh>
    <rPh sb="21" eb="23">
      <t>ソウリョウ</t>
    </rPh>
    <rPh sb="24" eb="26">
      <t>タンソ</t>
    </rPh>
    <rPh sb="41" eb="43">
      <t>ハイシュツ</t>
    </rPh>
    <rPh sb="43" eb="45">
      <t>ソウリョウ</t>
    </rPh>
    <rPh sb="46" eb="49">
      <t>ニサンカ</t>
    </rPh>
    <rPh sb="49" eb="51">
      <t>タンソ</t>
    </rPh>
    <rPh sb="64" eb="66">
      <t>スウチ</t>
    </rPh>
    <rPh sb="73" eb="74">
      <t>ジョウ</t>
    </rPh>
    <rPh sb="76" eb="77">
      <t>モト</t>
    </rPh>
    <rPh sb="81" eb="82">
      <t>ヒョウ</t>
    </rPh>
    <rPh sb="90" eb="92">
      <t>サンショウ</t>
    </rPh>
    <phoneticPr fontId="3"/>
  </si>
  <si>
    <r>
      <t>（kg-CO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/㎥）</t>
    </r>
    <phoneticPr fontId="9"/>
  </si>
  <si>
    <r>
      <t>SO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 xml:space="preserve">
排出係数</t>
    </r>
    <phoneticPr fontId="3"/>
  </si>
  <si>
    <r>
      <t>SO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健康被害影響
増分費用</t>
    </r>
    <phoneticPr fontId="3"/>
  </si>
  <si>
    <r>
      <t>SO</t>
    </r>
    <r>
      <rPr>
        <vertAlign val="subscript"/>
        <sz val="10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健康被害影響
費用原単位</t>
    </r>
    <phoneticPr fontId="3"/>
  </si>
  <si>
    <t>⑦</t>
    <phoneticPr fontId="3"/>
  </si>
  <si>
    <t>⑩</t>
    <phoneticPr fontId="3"/>
  </si>
  <si>
    <t>⑪＝
⑥*⑨*⑩</t>
    <phoneticPr fontId="3"/>
  </si>
  <si>
    <t>⑥＝
①*②*③*④*⑤</t>
    <phoneticPr fontId="3"/>
  </si>
  <si>
    <t>小口径
推進工法
φ150×4条</t>
    <rPh sb="0" eb="3">
      <t>ショウコウケイ</t>
    </rPh>
    <rPh sb="4" eb="6">
      <t>スイシン</t>
    </rPh>
    <rPh sb="6" eb="8">
      <t>コウホウ</t>
    </rPh>
    <rPh sb="15" eb="16">
      <t>ジョウ</t>
    </rPh>
    <phoneticPr fontId="9"/>
  </si>
  <si>
    <t>開削工法
φ150×4条</t>
    <rPh sb="0" eb="2">
      <t>カイサク</t>
    </rPh>
    <rPh sb="2" eb="4">
      <t>コウホウ</t>
    </rPh>
    <rPh sb="11" eb="12">
      <t>ジョウ</t>
    </rPh>
    <phoneticPr fontId="9"/>
  </si>
  <si>
    <r>
      <t>(kg-CO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  <scheme val="major"/>
      </rPr>
      <t>）</t>
    </r>
    <phoneticPr fontId="9"/>
  </si>
  <si>
    <t>CO</t>
    <phoneticPr fontId="3"/>
  </si>
  <si>
    <t>CO</t>
    <phoneticPr fontId="3"/>
  </si>
  <si>
    <r>
      <t>CO</t>
    </r>
    <r>
      <rPr>
        <vertAlign val="subscript"/>
        <sz val="11"/>
        <rFont val="ＭＳ Ｐゴシック"/>
        <family val="3"/>
        <charset val="128"/>
        <scheme val="major"/>
      </rPr>
      <t>2</t>
    </r>
    <phoneticPr fontId="3"/>
  </si>
  <si>
    <t>⑦＝
⑤*⑥</t>
    <phoneticPr fontId="3"/>
  </si>
  <si>
    <t>⑦＝①×②×③
×⑤/1,000,000×⑥</t>
    <phoneticPr fontId="3"/>
  </si>
  <si>
    <t>3.6.1　土砂掘削・土砂運搬に関する外部費用（環境負荷増分）</t>
    <rPh sb="6" eb="8">
      <t>ドシャ</t>
    </rPh>
    <rPh sb="8" eb="10">
      <t>クッサク</t>
    </rPh>
    <rPh sb="11" eb="13">
      <t>ドシャ</t>
    </rPh>
    <rPh sb="13" eb="15">
      <t>ウンパン</t>
    </rPh>
    <rPh sb="16" eb="17">
      <t>カン</t>
    </rPh>
    <rPh sb="19" eb="21">
      <t>ガイブ</t>
    </rPh>
    <rPh sb="21" eb="23">
      <t>ヒヨウ</t>
    </rPh>
    <rPh sb="24" eb="26">
      <t>カンキョウ</t>
    </rPh>
    <rPh sb="26" eb="28">
      <t>フカ</t>
    </rPh>
    <rPh sb="28" eb="30">
      <t>ゾウブン</t>
    </rPh>
    <phoneticPr fontId="3"/>
  </si>
  <si>
    <t>⑨： CO2の貨幣価値原単位2,891円は表2-2（P20）を参照の事</t>
    <rPh sb="7" eb="9">
      <t>カヘイ</t>
    </rPh>
    <rPh sb="9" eb="11">
      <t>カチ</t>
    </rPh>
    <rPh sb="11" eb="14">
      <t>ゲンタンイ</t>
    </rPh>
    <rPh sb="19" eb="20">
      <t>エン</t>
    </rPh>
    <rPh sb="21" eb="22">
      <t>ヒョウ</t>
    </rPh>
    <rPh sb="31" eb="33">
      <t>サンショウ</t>
    </rPh>
    <rPh sb="34" eb="35">
      <t>コト</t>
    </rPh>
    <phoneticPr fontId="3"/>
  </si>
  <si>
    <t>式(6)、式(7）　              　　（P22）</t>
    <rPh sb="0" eb="1">
      <t>シキ</t>
    </rPh>
    <rPh sb="5" eb="6">
      <t>シキ</t>
    </rPh>
    <phoneticPr fontId="3"/>
  </si>
  <si>
    <t>⑥＝(③/1,000,000)
*④/⑤</t>
    <phoneticPr fontId="3"/>
  </si>
  <si>
    <t>⑤＝（(①*②)/
(365*24)）*④</t>
    <phoneticPr fontId="3"/>
  </si>
  <si>
    <t>式(18)　　　　　　　　　　　　　（P35）</t>
    <rPh sb="0" eb="1">
      <t>シキ</t>
    </rPh>
    <phoneticPr fontId="3"/>
  </si>
  <si>
    <t>3.6.2　自然災害やその他の不確実な要因に関する外部費用　　　　　　　　　　　　　　　　　　　　　　　　　　　　　　　　　　　　　　　　　　　　　　　　　　　　　　　　　　　　　　　　（不確実要因負荷増分）</t>
    <rPh sb="6" eb="8">
      <t>シゼン</t>
    </rPh>
    <rPh sb="8" eb="10">
      <t>サイガイ</t>
    </rPh>
    <rPh sb="13" eb="14">
      <t>タ</t>
    </rPh>
    <rPh sb="15" eb="18">
      <t>フカクジツ</t>
    </rPh>
    <rPh sb="19" eb="21">
      <t>ヨウイン</t>
    </rPh>
    <rPh sb="22" eb="23">
      <t>カン</t>
    </rPh>
    <rPh sb="25" eb="27">
      <t>ガイブ</t>
    </rPh>
    <rPh sb="27" eb="29">
      <t>ヒヨウ</t>
    </rPh>
    <rPh sb="94" eb="97">
      <t>フカクジツ</t>
    </rPh>
    <rPh sb="97" eb="99">
      <t>ヨウイン</t>
    </rPh>
    <rPh sb="99" eb="101">
      <t>フカ</t>
    </rPh>
    <rPh sb="101" eb="103">
      <t>ゾウブン</t>
    </rPh>
    <phoneticPr fontId="3"/>
  </si>
  <si>
    <t>3.5　沿道の都市活動への影響に関する　　　　　　　　　　　　　　外部費用</t>
    <rPh sb="4" eb="6">
      <t>エンドウ</t>
    </rPh>
    <rPh sb="7" eb="9">
      <t>トシ</t>
    </rPh>
    <rPh sb="9" eb="11">
      <t>カツドウ</t>
    </rPh>
    <rPh sb="13" eb="15">
      <t>エイキョウ</t>
    </rPh>
    <rPh sb="16" eb="17">
      <t>カン</t>
    </rPh>
    <rPh sb="33" eb="35">
      <t>ガイブ</t>
    </rPh>
    <rPh sb="35" eb="37">
      <t>ヒヨウ</t>
    </rPh>
    <phoneticPr fontId="3"/>
  </si>
  <si>
    <t>3.6　その他の事項への影響に関する　　　　　　　　　　　　　　　　　　　　　　　外部費用</t>
    <rPh sb="6" eb="7">
      <t>タ</t>
    </rPh>
    <rPh sb="8" eb="10">
      <t>ジコウ</t>
    </rPh>
    <rPh sb="12" eb="14">
      <t>エイキョウ</t>
    </rPh>
    <rPh sb="15" eb="16">
      <t>カン</t>
    </rPh>
    <rPh sb="41" eb="43">
      <t>ガイブ</t>
    </rPh>
    <rPh sb="43" eb="45">
      <t>ヒヨウ</t>
    </rPh>
    <phoneticPr fontId="3"/>
  </si>
  <si>
    <t>3.4　歩行者・自転車交通に関する外部費用　　　　　　　</t>
    <rPh sb="4" eb="7">
      <t>ホコウシャ</t>
    </rPh>
    <rPh sb="8" eb="11">
      <t>ジテンシャ</t>
    </rPh>
    <rPh sb="11" eb="13">
      <t>コウツウ</t>
    </rPh>
    <rPh sb="14" eb="15">
      <t>カン</t>
    </rPh>
    <rPh sb="17" eb="19">
      <t>ガイブ</t>
    </rPh>
    <rPh sb="19" eb="21">
      <t>ヒヨウ</t>
    </rPh>
    <phoneticPr fontId="3"/>
  </si>
  <si>
    <t>非開削</t>
    <rPh sb="0" eb="1">
      <t>ヒ</t>
    </rPh>
    <rPh sb="1" eb="3">
      <t>カイサク</t>
    </rPh>
    <phoneticPr fontId="3"/>
  </si>
  <si>
    <t>開　削</t>
    <rPh sb="0" eb="1">
      <t>カイ</t>
    </rPh>
    <rPh sb="2" eb="3">
      <t>サク</t>
    </rPh>
    <phoneticPr fontId="3"/>
  </si>
  <si>
    <t>表-３　　　　　　　　　　　　　　　　　　　　　　　(P59)</t>
    <rPh sb="0" eb="1">
      <t>ヒョウ</t>
    </rPh>
    <phoneticPr fontId="3"/>
  </si>
  <si>
    <t>表-３　　　　　　　　　　　　　　　　　　　　　(P59)</t>
    <rPh sb="0" eb="1">
      <t>ヒョウ</t>
    </rPh>
    <phoneticPr fontId="3"/>
  </si>
  <si>
    <t>表11-3（3.5.1-3）　沿道事業所の工事騒音に関する外部費用（工事騒音増分）（非開削工法・開削工法）</t>
    <rPh sb="0" eb="1">
      <t>ヒョウ</t>
    </rPh>
    <rPh sb="15" eb="17">
      <t>エンドウ</t>
    </rPh>
    <rPh sb="17" eb="20">
      <t>ジギョウショ</t>
    </rPh>
    <rPh sb="21" eb="23">
      <t>コウジ</t>
    </rPh>
    <rPh sb="23" eb="25">
      <t>ソウオン</t>
    </rPh>
    <rPh sb="26" eb="27">
      <t>カン</t>
    </rPh>
    <rPh sb="29" eb="31">
      <t>ガイブ</t>
    </rPh>
    <rPh sb="31" eb="33">
      <t>ヒヨウ</t>
    </rPh>
    <rPh sb="34" eb="36">
      <t>コウジ</t>
    </rPh>
    <rPh sb="36" eb="38">
      <t>ソウオン</t>
    </rPh>
    <rPh sb="38" eb="40">
      <t>ゾウブン</t>
    </rPh>
    <rPh sb="42" eb="43">
      <t>ヒ</t>
    </rPh>
    <rPh sb="43" eb="45">
      <t>カイサク</t>
    </rPh>
    <rPh sb="45" eb="47">
      <t>コウホウ</t>
    </rPh>
    <rPh sb="48" eb="50">
      <t>カイサク</t>
    </rPh>
    <rPh sb="50" eb="52">
      <t>コウホウ</t>
    </rPh>
    <phoneticPr fontId="3"/>
  </si>
  <si>
    <t>表-3　　　（P59)</t>
    <rPh sb="0" eb="1">
      <t>ヒョウ</t>
    </rPh>
    <phoneticPr fontId="3"/>
  </si>
  <si>
    <t>表 2-1　　　　　　　　　　　　（Ｐ１９）</t>
    <rPh sb="0" eb="1">
      <t>ヒョウ</t>
    </rPh>
    <phoneticPr fontId="3"/>
  </si>
  <si>
    <t>表-4　　　　　　　　　　　　　　　(P60)</t>
    <rPh sb="0" eb="1">
      <t>ヒョウ</t>
    </rPh>
    <phoneticPr fontId="3"/>
  </si>
  <si>
    <t>表-4       (P60)</t>
    <rPh sb="0" eb="1">
      <t>ヒョウ</t>
    </rPh>
    <phoneticPr fontId="3"/>
  </si>
  <si>
    <t>規制パターン①（到達立坑）</t>
    <rPh sb="0" eb="2">
      <t>キセイ</t>
    </rPh>
    <rPh sb="8" eb="10">
      <t>トウタツ</t>
    </rPh>
    <rPh sb="10" eb="12">
      <t>タテコウ</t>
    </rPh>
    <phoneticPr fontId="3"/>
  </si>
  <si>
    <t>規制パターン②（発進・到達両立坑）</t>
    <rPh sb="0" eb="2">
      <t>キセイ</t>
    </rPh>
    <rPh sb="8" eb="10">
      <t>ハッシン</t>
    </rPh>
    <rPh sb="11" eb="13">
      <t>トウタツ</t>
    </rPh>
    <rPh sb="13" eb="14">
      <t>リョウ</t>
    </rPh>
    <rPh sb="14" eb="16">
      <t>タテコウ</t>
    </rPh>
    <phoneticPr fontId="3"/>
  </si>
  <si>
    <t>規制パターン③（発進立坑）</t>
    <rPh sb="0" eb="2">
      <t>キセイ</t>
    </rPh>
    <rPh sb="8" eb="10">
      <t>ハッシン</t>
    </rPh>
    <rPh sb="10" eb="12">
      <t>タテコウ</t>
    </rPh>
    <phoneticPr fontId="3"/>
  </si>
  <si>
    <t>規制パターン①（NO.2マンホール）</t>
    <rPh sb="0" eb="2">
      <t>キセイ</t>
    </rPh>
    <phoneticPr fontId="3"/>
  </si>
  <si>
    <t>規制パターン②（NO.1・NO.2両マンホール）</t>
    <rPh sb="0" eb="2">
      <t>キセイ</t>
    </rPh>
    <rPh sb="17" eb="18">
      <t>リョウ</t>
    </rPh>
    <phoneticPr fontId="3"/>
  </si>
  <si>
    <t>規制パターン③（NO.1マンホール）</t>
    <rPh sb="0" eb="2">
      <t>キセイ</t>
    </rPh>
    <phoneticPr fontId="3"/>
  </si>
  <si>
    <t>規制パターン④（管路部（一般部））</t>
    <rPh sb="0" eb="2">
      <t>キセイ</t>
    </rPh>
    <rPh sb="8" eb="10">
      <t>カンロ</t>
    </rPh>
    <rPh sb="10" eb="11">
      <t>ブ</t>
    </rPh>
    <rPh sb="12" eb="14">
      <t>イッパン</t>
    </rPh>
    <rPh sb="14" eb="15">
      <t>ブ</t>
    </rPh>
    <phoneticPr fontId="3"/>
  </si>
  <si>
    <t>規制パターン⑤（管路部（交差点部））</t>
    <rPh sb="0" eb="2">
      <t>キセイ</t>
    </rPh>
    <rPh sb="8" eb="10">
      <t>カンロ</t>
    </rPh>
    <rPh sb="10" eb="11">
      <t>ブ</t>
    </rPh>
    <rPh sb="12" eb="15">
      <t>コウサテン</t>
    </rPh>
    <rPh sb="15" eb="16">
      <t>ブ</t>
    </rPh>
    <phoneticPr fontId="3"/>
  </si>
  <si>
    <t>式(16)､(17)　　　　　　　　（P34）</t>
    <rPh sb="0" eb="1">
      <t>シキ</t>
    </rPh>
    <phoneticPr fontId="3"/>
  </si>
  <si>
    <t>表2-20　　　　　　　（P34）</t>
    <rPh sb="0" eb="1">
      <t>ヒョウ</t>
    </rPh>
    <phoneticPr fontId="3"/>
  </si>
  <si>
    <t>(円/年/千台)</t>
    <rPh sb="1" eb="2">
      <t>エン</t>
    </rPh>
    <rPh sb="3" eb="4">
      <t>ネン</t>
    </rPh>
    <rPh sb="5" eb="7">
      <t>センダイ</t>
    </rPh>
    <phoneticPr fontId="3"/>
  </si>
  <si>
    <t>表－３　車両交通の遅れ時間の計算条件（交通シュミレーション条件）</t>
    <rPh sb="11" eb="13">
      <t>ジカン</t>
    </rPh>
    <rPh sb="14" eb="16">
      <t>ケイサン</t>
    </rPh>
    <rPh sb="16" eb="18">
      <t>ジョウケン</t>
    </rPh>
    <rPh sb="19" eb="21">
      <t>コウツウ</t>
    </rPh>
    <phoneticPr fontId="3"/>
  </si>
  <si>
    <t>表-4　車両交通の遅れ時間の計算結果（交通シミュレーション結果）</t>
    <rPh sb="0" eb="1">
      <t>ヒョウ</t>
    </rPh>
    <rPh sb="4" eb="6">
      <t>シャリョウ</t>
    </rPh>
    <rPh sb="6" eb="8">
      <t>コウツウ</t>
    </rPh>
    <rPh sb="9" eb="10">
      <t>オク</t>
    </rPh>
    <rPh sb="11" eb="13">
      <t>ジカン</t>
    </rPh>
    <rPh sb="14" eb="16">
      <t>ケイサン</t>
    </rPh>
    <rPh sb="16" eb="18">
      <t>ケッカ</t>
    </rPh>
    <rPh sb="19" eb="21">
      <t>コウツウ</t>
    </rPh>
    <rPh sb="29" eb="31">
      <t>ケッカ</t>
    </rPh>
    <phoneticPr fontId="3"/>
  </si>
  <si>
    <t>表１７（３．６．１）　土砂掘削・土砂運搬に関する外部費用（環境負荷増分）（非開削工法・開削工法）</t>
    <rPh sb="11" eb="13">
      <t>ドシャ</t>
    </rPh>
    <rPh sb="13" eb="15">
      <t>クッサク</t>
    </rPh>
    <rPh sb="16" eb="18">
      <t>ドシャ</t>
    </rPh>
    <rPh sb="18" eb="20">
      <t>ウンパン</t>
    </rPh>
    <rPh sb="33" eb="35">
      <t>ゾウブン</t>
    </rPh>
    <phoneticPr fontId="3"/>
  </si>
  <si>
    <t>図－７　地下管渠工事に伴う車両の交通規制図（規制パターン図）</t>
    <rPh sb="16" eb="18">
      <t>コウツウ</t>
    </rPh>
    <rPh sb="22" eb="24">
      <t>キセイ</t>
    </rPh>
    <rPh sb="28" eb="29">
      <t>ズ</t>
    </rPh>
    <phoneticPr fontId="3"/>
  </si>
  <si>
    <t xml:space="preserve">規制ﾊﾟﾀｰﾝ　　　④
管路部
 （一般部）
上流側
規制
</t>
    <rPh sb="0" eb="2">
      <t>キセイ</t>
    </rPh>
    <rPh sb="12" eb="14">
      <t>カンロ</t>
    </rPh>
    <rPh sb="14" eb="15">
      <t>ブ</t>
    </rPh>
    <rPh sb="18" eb="20">
      <t>イッパン</t>
    </rPh>
    <rPh sb="20" eb="21">
      <t>ブ</t>
    </rPh>
    <rPh sb="23" eb="25">
      <t>ジョウリュウ</t>
    </rPh>
    <rPh sb="25" eb="26">
      <t>ガワ</t>
    </rPh>
    <rPh sb="27" eb="29">
      <t>キセイ</t>
    </rPh>
    <phoneticPr fontId="3"/>
  </si>
  <si>
    <t xml:space="preserve">規制ﾊﾟﾀｰﾝ　　　　①
到達立坑
 ・
NO.2
マンホール
規制
</t>
    <rPh sb="0" eb="2">
      <t>キセイ</t>
    </rPh>
    <rPh sb="13" eb="15">
      <t>トウタツ</t>
    </rPh>
    <rPh sb="15" eb="17">
      <t>タテコウ</t>
    </rPh>
    <rPh sb="32" eb="34">
      <t>キセイ</t>
    </rPh>
    <phoneticPr fontId="3"/>
  </si>
  <si>
    <t xml:space="preserve">規制ﾊﾟﾀｰﾝ　　　⑤
管路部
（交差点部）
規制
</t>
    <rPh sb="0" eb="2">
      <t>キセイ</t>
    </rPh>
    <rPh sb="12" eb="14">
      <t>カンロ</t>
    </rPh>
    <rPh sb="14" eb="15">
      <t>ブ</t>
    </rPh>
    <rPh sb="17" eb="20">
      <t>コウサテン</t>
    </rPh>
    <rPh sb="20" eb="21">
      <t>ブ</t>
    </rPh>
    <phoneticPr fontId="3"/>
  </si>
  <si>
    <t xml:space="preserve">規制ﾊﾟﾀｰﾝ　　　②
発進・到達
両立坑
・
NO.1・NO.2
両
マンホール
同時規制
</t>
    <rPh sb="0" eb="2">
      <t>キセイ</t>
    </rPh>
    <rPh sb="12" eb="14">
      <t>ハッシン</t>
    </rPh>
    <rPh sb="15" eb="17">
      <t>トウタツ</t>
    </rPh>
    <rPh sb="18" eb="19">
      <t>リョウ</t>
    </rPh>
    <rPh sb="19" eb="21">
      <t>タテコウ</t>
    </rPh>
    <rPh sb="34" eb="35">
      <t>リョウ</t>
    </rPh>
    <rPh sb="42" eb="44">
      <t>ドウジ</t>
    </rPh>
    <rPh sb="44" eb="46">
      <t>キセイ</t>
    </rPh>
    <phoneticPr fontId="3"/>
  </si>
  <si>
    <t xml:space="preserve">規制ﾊﾟﾀｰﾝ　　　③
発進立坑
・
NO.1
マンホール
規制
</t>
    <rPh sb="0" eb="2">
      <t>キセイ</t>
    </rPh>
    <rPh sb="12" eb="14">
      <t>ハッシン</t>
    </rPh>
    <rPh sb="14" eb="16">
      <t>タテコウ</t>
    </rPh>
    <rPh sb="30" eb="32">
      <t>キセイ</t>
    </rPh>
    <phoneticPr fontId="3"/>
  </si>
  <si>
    <t>規制ﾊﾟﾀｰﾝ　　　①
到達立坑
規制　　　　　　　　　　　　　　　　　　　　　　　　　　　　　　　　　　　　</t>
    <rPh sb="0" eb="2">
      <t>キセイ</t>
    </rPh>
    <rPh sb="12" eb="14">
      <t>トウタツ</t>
    </rPh>
    <rPh sb="14" eb="16">
      <t>タテコウ</t>
    </rPh>
    <rPh sb="17" eb="19">
      <t>キセイ</t>
    </rPh>
    <phoneticPr fontId="3"/>
  </si>
  <si>
    <t>規制ﾊﾟﾀｰﾝ　　　①
ＮＯ．２
マンホール
規制　　　　　　　　　　　　　　　　　　　　　　　　　　　　　　</t>
    <rPh sb="0" eb="2">
      <t>キセイ</t>
    </rPh>
    <rPh sb="23" eb="25">
      <t>キセイ</t>
    </rPh>
    <phoneticPr fontId="3"/>
  </si>
  <si>
    <t>規制ﾊﾟﾀｰﾝ　　　②
発進・到達
両立坑
同時規制　　　　　　　　　　　　　　　　　　　　　　　　　</t>
    <rPh sb="0" eb="2">
      <t>キセイ</t>
    </rPh>
    <rPh sb="12" eb="14">
      <t>ハッシン</t>
    </rPh>
    <rPh sb="15" eb="17">
      <t>トウタツ</t>
    </rPh>
    <rPh sb="18" eb="19">
      <t>リョウ</t>
    </rPh>
    <rPh sb="19" eb="20">
      <t>タテ</t>
    </rPh>
    <rPh sb="20" eb="21">
      <t>コウ</t>
    </rPh>
    <rPh sb="22" eb="24">
      <t>ドウジ</t>
    </rPh>
    <rPh sb="24" eb="26">
      <t>キセイ</t>
    </rPh>
    <phoneticPr fontId="3"/>
  </si>
  <si>
    <t>規制ﾊﾟﾀｰﾝ　　　②
ＮＯ．１
ＮＯ．２
両
マンホール
同時規制　　　　　　　　　　　　　　　　　　　　　　</t>
    <rPh sb="0" eb="2">
      <t>キセイ</t>
    </rPh>
    <rPh sb="22" eb="23">
      <t>リョウ</t>
    </rPh>
    <rPh sb="30" eb="32">
      <t>ドウジ</t>
    </rPh>
    <rPh sb="32" eb="34">
      <t>キセイ</t>
    </rPh>
    <phoneticPr fontId="3"/>
  </si>
  <si>
    <t>規制ﾊﾟﾀｰﾝ　　　③
発進立坑
規制　　　　　　　　　　　　　　　　　　　　　　　　　</t>
    <rPh sb="0" eb="2">
      <t>キセイ</t>
    </rPh>
    <rPh sb="12" eb="14">
      <t>ハッシン</t>
    </rPh>
    <rPh sb="14" eb="16">
      <t>タテコウ</t>
    </rPh>
    <rPh sb="17" eb="19">
      <t>キセイ</t>
    </rPh>
    <phoneticPr fontId="3"/>
  </si>
  <si>
    <t>規制ﾊﾟﾀｰﾝ　　　③
ＮＯ．１
マンホール
規制　　　　　　　　　　　　　　　　　　　　　　　　　　　</t>
    <rPh sb="0" eb="2">
      <t>キセイ</t>
    </rPh>
    <rPh sb="23" eb="25">
      <t>キセイ</t>
    </rPh>
    <phoneticPr fontId="3"/>
  </si>
  <si>
    <t>規制ﾊﾟﾀｰﾝ　　　　④　　　　　　　管路部　　　　　　(一般部）　　　　　　上流側　　　　　　　　　　　　　規制　　　　　　　　　　　　　　　</t>
    <rPh sb="0" eb="2">
      <t>キセイ</t>
    </rPh>
    <rPh sb="19" eb="21">
      <t>カンロ</t>
    </rPh>
    <rPh sb="21" eb="22">
      <t>ブ</t>
    </rPh>
    <rPh sb="29" eb="31">
      <t>イッパン</t>
    </rPh>
    <rPh sb="31" eb="32">
      <t>ブ</t>
    </rPh>
    <rPh sb="39" eb="41">
      <t>ジョウリュウ</t>
    </rPh>
    <rPh sb="41" eb="42">
      <t>ガワ</t>
    </rPh>
    <phoneticPr fontId="3"/>
  </si>
  <si>
    <r>
      <t xml:space="preserve"> </t>
    </r>
    <r>
      <rPr>
        <b/>
        <sz val="16"/>
        <rFont val="ＭＳ Ｐゴシック"/>
        <family val="3"/>
        <charset val="128"/>
        <scheme val="major"/>
      </rPr>
      <t>：表－４（Ｐ６０）の数値を採用</t>
    </r>
    <phoneticPr fontId="3"/>
  </si>
  <si>
    <t>規制ﾊﾟﾀｰﾝ　　　⑤　　　　　　　　　　　　　　　　　　管路部　　　　(交差点部）規制　　　　　　　　　　　　　　　　　　　　　　　　　　　　　　</t>
    <rPh sb="0" eb="2">
      <t>キセイ</t>
    </rPh>
    <rPh sb="29" eb="31">
      <t>カンロ</t>
    </rPh>
    <rPh sb="31" eb="32">
      <t>ブ</t>
    </rPh>
    <rPh sb="37" eb="40">
      <t>コウサテン</t>
    </rPh>
    <rPh sb="40" eb="41">
      <t>ブ</t>
    </rPh>
    <phoneticPr fontId="3"/>
  </si>
  <si>
    <r>
      <t>表6-1　（3.3.3-1）　環境負荷に関する外部費用（環境負荷増分）</t>
    </r>
    <r>
      <rPr>
        <sz val="16"/>
        <rFont val="ＭＳ Ｐゴシック"/>
        <family val="3"/>
        <charset val="128"/>
        <scheme val="major"/>
      </rPr>
      <t>（非開削工法・工事規制なし）</t>
    </r>
    <rPh sb="0" eb="1">
      <t>ヒョウ</t>
    </rPh>
    <rPh sb="15" eb="17">
      <t>カンキョウ</t>
    </rPh>
    <rPh sb="17" eb="19">
      <t>フカ</t>
    </rPh>
    <rPh sb="20" eb="21">
      <t>カン</t>
    </rPh>
    <rPh sb="23" eb="25">
      <t>ガイブ</t>
    </rPh>
    <rPh sb="25" eb="27">
      <t>ヒヨウ</t>
    </rPh>
    <rPh sb="28" eb="30">
      <t>カンキョウ</t>
    </rPh>
    <rPh sb="30" eb="32">
      <t>フカ</t>
    </rPh>
    <rPh sb="32" eb="34">
      <t>ゾウブン</t>
    </rPh>
    <rPh sb="36" eb="37">
      <t>ヒ</t>
    </rPh>
    <rPh sb="37" eb="39">
      <t>カイサク</t>
    </rPh>
    <rPh sb="39" eb="41">
      <t>コウホウ</t>
    </rPh>
    <rPh sb="42" eb="44">
      <t>コウジ</t>
    </rPh>
    <rPh sb="44" eb="46">
      <t>キセイ</t>
    </rPh>
    <phoneticPr fontId="3"/>
  </si>
  <si>
    <r>
      <t>CO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 xml:space="preserve">
排出係数</t>
    </r>
    <phoneticPr fontId="3"/>
  </si>
  <si>
    <r>
      <t>CO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>環境負荷
費用原単位</t>
    </r>
    <phoneticPr fontId="3"/>
  </si>
  <si>
    <r>
      <t>CO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>環境負荷
増分費用</t>
    </r>
    <phoneticPr fontId="3"/>
  </si>
  <si>
    <r>
      <t>SO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 xml:space="preserve">
排出係数</t>
    </r>
    <phoneticPr fontId="3"/>
  </si>
  <si>
    <r>
      <t>SO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>環境負荷
費用原単位</t>
    </r>
    <phoneticPr fontId="3"/>
  </si>
  <si>
    <r>
      <t>SO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>環境負荷
増分費用</t>
    </r>
    <phoneticPr fontId="3"/>
  </si>
  <si>
    <t>⑦＝①×②
×③×⑤/1,000,000×⑥</t>
    <phoneticPr fontId="3"/>
  </si>
  <si>
    <t>⑩＝①×②
×③×⑧/1,000,000×⑨</t>
    <phoneticPr fontId="3"/>
  </si>
  <si>
    <t>⑬＝①×②
×③×⑪/1,000,000×⑫</t>
    <phoneticPr fontId="3"/>
  </si>
  <si>
    <t>⑯＝①×②
×③×⑭/1,000,000×⑮</t>
    <phoneticPr fontId="3"/>
  </si>
  <si>
    <t>⑲＝①×②
×③×⑰×⑱</t>
    <phoneticPr fontId="3"/>
  </si>
  <si>
    <t xml:space="preserve">規制ﾊﾟﾀｰﾝ　　　　　①　　　　　　到達立坑
規制
</t>
    <rPh sb="0" eb="2">
      <t>キセイ</t>
    </rPh>
    <rPh sb="19" eb="21">
      <t>トウタツ</t>
    </rPh>
    <rPh sb="21" eb="23">
      <t>タテコウ</t>
    </rPh>
    <rPh sb="24" eb="26">
      <t>キセイ</t>
    </rPh>
    <phoneticPr fontId="3"/>
  </si>
  <si>
    <t xml:space="preserve">規制ﾊﾟﾀｰﾝ　　　　②　　　　　　発進・到達
両立坑
同時規制
</t>
    <rPh sb="0" eb="2">
      <t>キセイ</t>
    </rPh>
    <rPh sb="18" eb="20">
      <t>ハッシン</t>
    </rPh>
    <rPh sb="21" eb="23">
      <t>トウタツ</t>
    </rPh>
    <rPh sb="24" eb="25">
      <t>リョウ</t>
    </rPh>
    <rPh sb="26" eb="27">
      <t xml:space="preserve">
</t>
    </rPh>
    <rPh sb="27" eb="29">
      <t>ドウジ</t>
    </rPh>
    <rPh sb="28" eb="30">
      <t>ドウジ</t>
    </rPh>
    <rPh sb="30" eb="32">
      <t>キセイ</t>
    </rPh>
    <phoneticPr fontId="3"/>
  </si>
  <si>
    <t xml:space="preserve">規制ﾊﾟﾀｰﾝ　③　　　　　　　　　発進立坑
規制
</t>
    <rPh sb="0" eb="2">
      <t>キセイ</t>
    </rPh>
    <rPh sb="18" eb="20">
      <t>ハッシン</t>
    </rPh>
    <phoneticPr fontId="3"/>
  </si>
  <si>
    <r>
      <t>表6-2　（3.3.3-2）　環境負荷に関する外部費用（環境負荷増分）</t>
    </r>
    <r>
      <rPr>
        <sz val="14"/>
        <rFont val="ＭＳ Ｐゴシック"/>
        <family val="3"/>
        <charset val="128"/>
        <scheme val="major"/>
      </rPr>
      <t>（非開削工法・工事規制あり）　</t>
    </r>
    <rPh sb="0" eb="1">
      <t>ヒョウ</t>
    </rPh>
    <rPh sb="15" eb="17">
      <t>カンキョウ</t>
    </rPh>
    <rPh sb="17" eb="19">
      <t>フカ</t>
    </rPh>
    <rPh sb="20" eb="21">
      <t>カン</t>
    </rPh>
    <rPh sb="23" eb="25">
      <t>ガイブ</t>
    </rPh>
    <rPh sb="25" eb="27">
      <t>ヒヨウ</t>
    </rPh>
    <rPh sb="28" eb="32">
      <t>カンキョウフカ</t>
    </rPh>
    <rPh sb="32" eb="34">
      <t>ゾウブン</t>
    </rPh>
    <rPh sb="36" eb="37">
      <t>ヒ</t>
    </rPh>
    <rPh sb="37" eb="39">
      <t>カイサク</t>
    </rPh>
    <rPh sb="39" eb="41">
      <t>コウホウ</t>
    </rPh>
    <rPh sb="42" eb="46">
      <t>コウジキセイ</t>
    </rPh>
    <phoneticPr fontId="3"/>
  </si>
  <si>
    <r>
      <t>CO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>環境負荷
増分費用</t>
    </r>
    <phoneticPr fontId="3"/>
  </si>
  <si>
    <r>
      <t>SO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 xml:space="preserve">
排出係数</t>
    </r>
    <phoneticPr fontId="3"/>
  </si>
  <si>
    <r>
      <t>SO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>環境負荷
費用原単位</t>
    </r>
    <phoneticPr fontId="3"/>
  </si>
  <si>
    <r>
      <t>SO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>環境負荷
増分費用</t>
    </r>
    <phoneticPr fontId="3"/>
  </si>
  <si>
    <t>⑦＝①×②
×③×⑤/1,000,000×⑥</t>
    <phoneticPr fontId="3"/>
  </si>
  <si>
    <t>⑩＝①×②
×③×⑧/1,000,000×⑨</t>
    <phoneticPr fontId="3"/>
  </si>
  <si>
    <t>⑬＝①×②
×③×⑪/1,000,000×⑫</t>
    <phoneticPr fontId="3"/>
  </si>
  <si>
    <t>⑯＝①×②
×③×⑭/1,000,000×⑮</t>
    <phoneticPr fontId="3"/>
  </si>
  <si>
    <t xml:space="preserve">規制ﾊﾟﾀｰﾝ　　①　　　　　　　　　　　　　　　到達立坑
規制
</t>
    <rPh sb="0" eb="2">
      <t>キセイ</t>
    </rPh>
    <rPh sb="25" eb="27">
      <t>トウタツ</t>
    </rPh>
    <rPh sb="27" eb="29">
      <t>タテコウ</t>
    </rPh>
    <rPh sb="30" eb="32">
      <t>キセイ</t>
    </rPh>
    <phoneticPr fontId="3"/>
  </si>
  <si>
    <t xml:space="preserve">規制ﾊﾟﾀｰﾝ　　　③　　　　　　　　発進立坑
規制
</t>
    <rPh sb="0" eb="2">
      <t>キセイ</t>
    </rPh>
    <rPh sb="19" eb="21">
      <t>ハッシン</t>
    </rPh>
    <phoneticPr fontId="3"/>
  </si>
  <si>
    <r>
      <t>表6-3　（3.3.3-3）　環境負荷に関する外部費用（環境負荷増分）</t>
    </r>
    <r>
      <rPr>
        <sz val="14"/>
        <rFont val="ＭＳ Ｐゴシック"/>
        <family val="3"/>
        <charset val="128"/>
        <scheme val="major"/>
      </rPr>
      <t>（開削工法・工事規制なし）</t>
    </r>
    <rPh sb="36" eb="38">
      <t>カイサク</t>
    </rPh>
    <rPh sb="38" eb="40">
      <t>コウホウ</t>
    </rPh>
    <phoneticPr fontId="3"/>
  </si>
  <si>
    <t xml:space="preserve">規制ﾊﾟﾀｰﾝ　　　①　　　　　　　　　　　　　　　　ＮＯ．２
マンホール　　　　規制
</t>
    <rPh sb="41" eb="43">
      <t>キセイ</t>
    </rPh>
    <phoneticPr fontId="3"/>
  </si>
  <si>
    <t xml:space="preserve">規制ﾊﾟﾀｰﾝ　　②　　　　　　ＮＯ．１
ＮＯ．２
両
マンホール
同時規制
</t>
    <rPh sb="0" eb="2">
      <t>キセイ</t>
    </rPh>
    <rPh sb="26" eb="27">
      <t>リョウ</t>
    </rPh>
    <rPh sb="34" eb="36">
      <t>ドウジ</t>
    </rPh>
    <rPh sb="36" eb="38">
      <t>キセイ</t>
    </rPh>
    <phoneticPr fontId="3"/>
  </si>
  <si>
    <t xml:space="preserve">規制ﾊﾟﾀｰﾝ　　　　③　　　　　　　　ＮＯ．１
マンホール
規制
</t>
    <rPh sb="0" eb="2">
      <t>キセイ</t>
    </rPh>
    <rPh sb="31" eb="33">
      <t>キセイ</t>
    </rPh>
    <phoneticPr fontId="3"/>
  </si>
  <si>
    <t>規制ﾊﾟﾀｰﾝ　　④　　　　　　　　　管路部　　（一般部）　　　　規制　　　　　　　　　　　　　　　　　　　　　　　</t>
    <rPh sb="0" eb="2">
      <t>キセイ</t>
    </rPh>
    <rPh sb="19" eb="21">
      <t>カンロ</t>
    </rPh>
    <rPh sb="21" eb="22">
      <t>ブ</t>
    </rPh>
    <rPh sb="25" eb="27">
      <t>イッパン</t>
    </rPh>
    <rPh sb="27" eb="28">
      <t>ブ</t>
    </rPh>
    <rPh sb="33" eb="35">
      <t>キセイ</t>
    </rPh>
    <phoneticPr fontId="3"/>
  </si>
  <si>
    <t>規制ﾊﾟﾀｰﾝ　　⑤　　　　　　　　　　管路部　　　（交差点部）　　　　　規制　　　　　　　　　　　　　　　　　　</t>
    <rPh sb="0" eb="2">
      <t>キセイ</t>
    </rPh>
    <rPh sb="20" eb="22">
      <t>カンロ</t>
    </rPh>
    <rPh sb="22" eb="23">
      <t>ブ</t>
    </rPh>
    <rPh sb="27" eb="30">
      <t>コウサテン</t>
    </rPh>
    <rPh sb="30" eb="31">
      <t>ブ</t>
    </rPh>
    <rPh sb="37" eb="39">
      <t>キセイ</t>
    </rPh>
    <phoneticPr fontId="3"/>
  </si>
  <si>
    <t>表6-4　（3.3.3-4）　環境負荷に関する外部費用（環境負荷増分）（開削工法・工事規制あり）</t>
    <rPh sb="0" eb="1">
      <t>ヒョウ</t>
    </rPh>
    <rPh sb="15" eb="17">
      <t>カンキョウ</t>
    </rPh>
    <rPh sb="17" eb="19">
      <t>フカ</t>
    </rPh>
    <rPh sb="20" eb="21">
      <t>カン</t>
    </rPh>
    <rPh sb="23" eb="25">
      <t>ガイブ</t>
    </rPh>
    <rPh sb="25" eb="27">
      <t>ヒヨウ</t>
    </rPh>
    <rPh sb="28" eb="30">
      <t>カンキョウ</t>
    </rPh>
    <rPh sb="30" eb="32">
      <t>フカ</t>
    </rPh>
    <rPh sb="32" eb="34">
      <t>ゾウブン</t>
    </rPh>
    <rPh sb="36" eb="38">
      <t>カイサク</t>
    </rPh>
    <rPh sb="38" eb="40">
      <t>コウホウ</t>
    </rPh>
    <rPh sb="41" eb="43">
      <t>コウジ</t>
    </rPh>
    <rPh sb="43" eb="45">
      <t>キセイ</t>
    </rPh>
    <phoneticPr fontId="3"/>
  </si>
  <si>
    <t xml:space="preserve">規制ﾊﾟﾀｰﾝ　　①　　　　　　　　ＮＯ．２
マンホール
規制
</t>
    <rPh sb="0" eb="2">
      <t>キセイ</t>
    </rPh>
    <rPh sb="29" eb="31">
      <t>キセイ</t>
    </rPh>
    <phoneticPr fontId="3"/>
  </si>
  <si>
    <t xml:space="preserve">規制ﾊﾟﾀｰﾝ　　②　　　　　　　　　　ＮＯ．１
ＮＯ．２
両
マンホール
同時規制
</t>
    <rPh sb="0" eb="2">
      <t>キセイ</t>
    </rPh>
    <rPh sb="30" eb="31">
      <t>リョウ</t>
    </rPh>
    <rPh sb="38" eb="40">
      <t>ドウジ</t>
    </rPh>
    <rPh sb="40" eb="42">
      <t>キセイ</t>
    </rPh>
    <phoneticPr fontId="3"/>
  </si>
  <si>
    <t xml:space="preserve">規制ﾊﾟﾀｰﾝ　　　③　　　　　　　　　　　ＮＯ．１
マンホール
規制
</t>
    <rPh sb="0" eb="2">
      <t>キセイ</t>
    </rPh>
    <rPh sb="33" eb="35">
      <t>キセイ</t>
    </rPh>
    <phoneticPr fontId="3"/>
  </si>
  <si>
    <t>規制ﾊﾟﾀｰﾝ　　　④　　　　　　　管路部　　　　　　　（一般部）　　　　規制　　　　　　　　　　　　　　　　　　　　　　　　　　　　</t>
    <rPh sb="0" eb="2">
      <t>キセイ</t>
    </rPh>
    <rPh sb="18" eb="20">
      <t>カンロ</t>
    </rPh>
    <rPh sb="20" eb="21">
      <t>ブ</t>
    </rPh>
    <rPh sb="29" eb="31">
      <t>イッパン</t>
    </rPh>
    <rPh sb="31" eb="32">
      <t>ブ</t>
    </rPh>
    <rPh sb="37" eb="39">
      <t>キセイ</t>
    </rPh>
    <phoneticPr fontId="3"/>
  </si>
  <si>
    <t>規制ﾊﾟﾀｰﾝ　　　⑤　　　　　　　　　　　　　　管路部　　　　　　　（交差点部）　　　　　規制　　　　　　　　　　　　　　　</t>
    <rPh sb="0" eb="2">
      <t>キセイ</t>
    </rPh>
    <rPh sb="25" eb="27">
      <t>カンロ</t>
    </rPh>
    <rPh sb="27" eb="28">
      <t>ブ</t>
    </rPh>
    <rPh sb="36" eb="39">
      <t>コウサテン</t>
    </rPh>
    <rPh sb="39" eb="40">
      <t>ブ</t>
    </rPh>
    <rPh sb="46" eb="48">
      <t>キセイ</t>
    </rPh>
    <phoneticPr fontId="3"/>
  </si>
  <si>
    <t>規制ﾊﾟﾀｰﾝ　①　　　　　　　　　　　　　　　到達立坑規制　　　　</t>
    <rPh sb="0" eb="2">
      <t>キセイ</t>
    </rPh>
    <rPh sb="24" eb="26">
      <t>トウタツ</t>
    </rPh>
    <rPh sb="26" eb="28">
      <t>タテコウ</t>
    </rPh>
    <rPh sb="28" eb="30">
      <t>キセイ</t>
    </rPh>
    <phoneticPr fontId="3"/>
  </si>
  <si>
    <t>規制ﾊﾟﾀｰﾝ　②　　　　　　　発進・到達両立坑
同時規制　　</t>
    <rPh sb="0" eb="2">
      <t>キセイ</t>
    </rPh>
    <rPh sb="16" eb="18">
      <t>ハッシン</t>
    </rPh>
    <rPh sb="19" eb="21">
      <t>トウタツ</t>
    </rPh>
    <rPh sb="21" eb="22">
      <t>リョウ</t>
    </rPh>
    <rPh sb="22" eb="24">
      <t>タテコウ</t>
    </rPh>
    <rPh sb="25" eb="27">
      <t>ドウジ</t>
    </rPh>
    <rPh sb="27" eb="29">
      <t>キセイ</t>
    </rPh>
    <phoneticPr fontId="3"/>
  </si>
  <si>
    <t>規制ﾊﾟﾀｰﾝ　③　　　　　発進立坑規制　</t>
    <rPh sb="0" eb="2">
      <t>キセイ</t>
    </rPh>
    <rPh sb="14" eb="16">
      <t>ハッシン</t>
    </rPh>
    <rPh sb="16" eb="18">
      <t>タテコウ</t>
    </rPh>
    <rPh sb="18" eb="20">
      <t>キセイ</t>
    </rPh>
    <phoneticPr fontId="3"/>
  </si>
  <si>
    <t>規制ﾊﾟﾀｰﾝ　①　　　　NO.2
マンホール規制　　　　　</t>
    <rPh sb="0" eb="2">
      <t>キセイ</t>
    </rPh>
    <rPh sb="23" eb="25">
      <t>キセイ</t>
    </rPh>
    <phoneticPr fontId="3"/>
  </si>
  <si>
    <t>規制ﾊﾟﾀｰﾝ　②　　　　　　NO.1、NO.2
両マンホール
同時規制 　　</t>
    <rPh sb="0" eb="2">
      <t>キセイ</t>
    </rPh>
    <rPh sb="25" eb="26">
      <t>リョウ</t>
    </rPh>
    <rPh sb="32" eb="34">
      <t>ドウジ</t>
    </rPh>
    <rPh sb="34" eb="36">
      <t>キセイ</t>
    </rPh>
    <phoneticPr fontId="3"/>
  </si>
  <si>
    <t>規制ﾊﾟﾀｰﾝ　③　　　　NO.1
マンホール規制</t>
    <rPh sb="0" eb="2">
      <t>キセイ</t>
    </rPh>
    <rPh sb="23" eb="25">
      <t>キセイ</t>
    </rPh>
    <phoneticPr fontId="3"/>
  </si>
  <si>
    <t>規制ﾊﾟﾀｰﾝ　④　　　　　　管路部
（一般部）規制</t>
    <rPh sb="0" eb="2">
      <t>キセイ</t>
    </rPh>
    <rPh sb="15" eb="17">
      <t>カンロ</t>
    </rPh>
    <rPh sb="17" eb="18">
      <t>ブ</t>
    </rPh>
    <rPh sb="20" eb="22">
      <t>イッパン</t>
    </rPh>
    <rPh sb="22" eb="23">
      <t>ブ</t>
    </rPh>
    <rPh sb="24" eb="26">
      <t>キセイ</t>
    </rPh>
    <phoneticPr fontId="3"/>
  </si>
  <si>
    <t>規制ﾊﾟﾀｰﾝ　⑤　　　　　　管路部
（交差点部）規制</t>
    <rPh sb="0" eb="2">
      <t>キセイ</t>
    </rPh>
    <rPh sb="15" eb="17">
      <t>カンロ</t>
    </rPh>
    <rPh sb="17" eb="18">
      <t>ブ</t>
    </rPh>
    <rPh sb="20" eb="23">
      <t>コウサテン</t>
    </rPh>
    <rPh sb="23" eb="24">
      <t>ブ</t>
    </rPh>
    <rPh sb="25" eb="27">
      <t>キセイ</t>
    </rPh>
    <phoneticPr fontId="3"/>
  </si>
  <si>
    <t>⑥＝（2000*(②*③*④）+530*(②＊③*⑤））/1000</t>
    <phoneticPr fontId="3"/>
  </si>
  <si>
    <t>規制ﾊﾟﾀｰﾝ　①　　　　　到達立坑規制</t>
    <rPh sb="0" eb="2">
      <t>キセイ</t>
    </rPh>
    <rPh sb="14" eb="16">
      <t>トウタツ</t>
    </rPh>
    <rPh sb="16" eb="18">
      <t>タテコウ</t>
    </rPh>
    <rPh sb="18" eb="20">
      <t>キセイ</t>
    </rPh>
    <phoneticPr fontId="3"/>
  </si>
  <si>
    <t>規制ﾊﾟﾀｰﾝ　②　　　　発進・到達両立坑
同時規制　　</t>
    <rPh sb="0" eb="2">
      <t>キセイ</t>
    </rPh>
    <rPh sb="13" eb="15">
      <t>ハッシン</t>
    </rPh>
    <rPh sb="16" eb="18">
      <t>トウタツ</t>
    </rPh>
    <rPh sb="18" eb="19">
      <t>リョウ</t>
    </rPh>
    <rPh sb="19" eb="21">
      <t>タテコウ</t>
    </rPh>
    <rPh sb="22" eb="24">
      <t>ドウジ</t>
    </rPh>
    <rPh sb="24" eb="26">
      <t>キセイ</t>
    </rPh>
    <phoneticPr fontId="3"/>
  </si>
  <si>
    <t>規制ﾊﾟﾀｰﾝ　③　　　　発進立坑規制</t>
    <rPh sb="0" eb="2">
      <t>キセイ</t>
    </rPh>
    <rPh sb="13" eb="15">
      <t>ハッシン</t>
    </rPh>
    <rPh sb="15" eb="17">
      <t>タテコウ</t>
    </rPh>
    <rPh sb="17" eb="19">
      <t>キセイ</t>
    </rPh>
    <phoneticPr fontId="3"/>
  </si>
  <si>
    <t>規制ﾊﾟﾀｰﾝ　②　　　　NO.1、NO.2
両マンホール　　　　　　　　　　　　　　　　　　　同時規制　</t>
    <rPh sb="0" eb="2">
      <t>キセイ</t>
    </rPh>
    <rPh sb="23" eb="24">
      <t>リョウ</t>
    </rPh>
    <rPh sb="48" eb="50">
      <t>ドウジ</t>
    </rPh>
    <rPh sb="50" eb="52">
      <t>キセイ</t>
    </rPh>
    <phoneticPr fontId="3"/>
  </si>
  <si>
    <t>規制ﾊﾟﾀｰﾝ　③　　　　　NO.1
マンホール規制　</t>
    <rPh sb="0" eb="2">
      <t>キセイ</t>
    </rPh>
    <rPh sb="24" eb="26">
      <t>キセイ</t>
    </rPh>
    <phoneticPr fontId="3"/>
  </si>
  <si>
    <t>規制ﾊﾟﾀｰﾝ　④　　　　　管路部
（一般部）規制　</t>
    <rPh sb="0" eb="2">
      <t>キセイ</t>
    </rPh>
    <rPh sb="14" eb="16">
      <t>カンロ</t>
    </rPh>
    <rPh sb="16" eb="17">
      <t>ブ</t>
    </rPh>
    <rPh sb="19" eb="21">
      <t>イッパン</t>
    </rPh>
    <rPh sb="21" eb="22">
      <t>ブ</t>
    </rPh>
    <rPh sb="23" eb="25">
      <t>キセイ</t>
    </rPh>
    <phoneticPr fontId="3"/>
  </si>
  <si>
    <t>規制ﾊﾟﾀｰﾝ　⑤　　　　　　管路部
（交差点部）規制</t>
    <rPh sb="0" eb="2">
      <t>キセイ</t>
    </rPh>
    <rPh sb="15" eb="17">
      <t>カンロ</t>
    </rPh>
    <rPh sb="17" eb="18">
      <t>ブ</t>
    </rPh>
    <rPh sb="20" eb="23">
      <t>コウサテン</t>
    </rPh>
    <rPh sb="23" eb="24">
      <t>ブ</t>
    </rPh>
    <rPh sb="24" eb="25">
      <t>イチブ</t>
    </rPh>
    <rPh sb="25" eb="27">
      <t>キセイ</t>
    </rPh>
    <phoneticPr fontId="3"/>
  </si>
  <si>
    <r>
      <t>SO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 xml:space="preserve">
排出係数</t>
    </r>
    <phoneticPr fontId="3"/>
  </si>
  <si>
    <r>
      <t>SO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
影響
費用原単位</t>
    </r>
    <phoneticPr fontId="3"/>
  </si>
  <si>
    <r>
      <t>SO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健康被害影響
増分費用</t>
    </r>
    <phoneticPr fontId="3"/>
  </si>
  <si>
    <t>⑩＝①×②×③
×⑧/1,000,000×⑨</t>
    <phoneticPr fontId="3"/>
  </si>
  <si>
    <t>⑬＝①×②×③
×⑪/1,000,000×⑫</t>
    <phoneticPr fontId="3"/>
  </si>
  <si>
    <t>⑯＝①×②×③
×⑭/1,000,000×⑮</t>
    <phoneticPr fontId="3"/>
  </si>
  <si>
    <t xml:space="preserve">規制ﾊﾟﾀｰﾝ
①
到達立坑
規制
</t>
    <rPh sb="0" eb="2">
      <t>キセイ</t>
    </rPh>
    <rPh sb="10" eb="12">
      <t>トウタツ</t>
    </rPh>
    <rPh sb="12" eb="13">
      <t>タ</t>
    </rPh>
    <rPh sb="13" eb="14">
      <t>コウ</t>
    </rPh>
    <rPh sb="15" eb="17">
      <t>キセイ</t>
    </rPh>
    <phoneticPr fontId="3"/>
  </si>
  <si>
    <t xml:space="preserve">規制ﾊﾟﾀｰﾝ
②
発進・到達
両立坑
同時規制
</t>
    <rPh sb="0" eb="2">
      <t>キセイ</t>
    </rPh>
    <rPh sb="10" eb="12">
      <t>ハッシン</t>
    </rPh>
    <rPh sb="13" eb="15">
      <t>トウタツ</t>
    </rPh>
    <rPh sb="16" eb="17">
      <t>リョウ</t>
    </rPh>
    <rPh sb="17" eb="18">
      <t>タ</t>
    </rPh>
    <rPh sb="18" eb="19">
      <t>コウ</t>
    </rPh>
    <rPh sb="20" eb="22">
      <t>ドウジ</t>
    </rPh>
    <rPh sb="22" eb="24">
      <t>キセイ</t>
    </rPh>
    <phoneticPr fontId="3"/>
  </si>
  <si>
    <t>規制ﾊﾟﾀｰﾝ
③
発進立坑
規制　　　　　　　</t>
    <rPh sb="0" eb="2">
      <t>キセイ</t>
    </rPh>
    <rPh sb="10" eb="12">
      <t>ハッシン</t>
    </rPh>
    <rPh sb="12" eb="13">
      <t>タ</t>
    </rPh>
    <rPh sb="13" eb="14">
      <t>コウ</t>
    </rPh>
    <rPh sb="15" eb="17">
      <t>キセイ</t>
    </rPh>
    <phoneticPr fontId="3"/>
  </si>
  <si>
    <t>⑩＝①×②×③
×⑧/1,000,000×⑨</t>
    <phoneticPr fontId="3"/>
  </si>
  <si>
    <t>⑬＝①×②×③
×⑪/1,000,000×⑫</t>
    <phoneticPr fontId="3"/>
  </si>
  <si>
    <t>⑯＝①×②×③
×⑭/1,000,000×⑮</t>
    <phoneticPr fontId="3"/>
  </si>
  <si>
    <t xml:space="preserve">規制ﾊﾟﾀｰﾝ
②
発進・到達
両立坑　　　　　　　　　　　　同時規制
</t>
    <rPh sb="0" eb="2">
      <t>キセイ</t>
    </rPh>
    <rPh sb="10" eb="12">
      <t>ハッシン</t>
    </rPh>
    <rPh sb="13" eb="15">
      <t>トウタツ</t>
    </rPh>
    <rPh sb="16" eb="17">
      <t>リョウ</t>
    </rPh>
    <rPh sb="17" eb="18">
      <t>タ</t>
    </rPh>
    <rPh sb="18" eb="19">
      <t>コウ</t>
    </rPh>
    <rPh sb="31" eb="33">
      <t>ドウジ</t>
    </rPh>
    <rPh sb="33" eb="35">
      <t>キセイ</t>
    </rPh>
    <phoneticPr fontId="3"/>
  </si>
  <si>
    <r>
      <t>SO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 xml:space="preserve">
排出係数</t>
    </r>
    <phoneticPr fontId="3"/>
  </si>
  <si>
    <r>
      <t>SO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健康被害影響
費用原単位</t>
    </r>
    <phoneticPr fontId="3"/>
  </si>
  <si>
    <r>
      <t>SO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健康被害影響
増分費用</t>
    </r>
    <phoneticPr fontId="3"/>
  </si>
  <si>
    <t>⑩＝①×②×③
×⑧/1,000,000×⑨</t>
    <phoneticPr fontId="3"/>
  </si>
  <si>
    <t>⑬＝①×②×③
×⑪/1,000,000×⑫</t>
    <phoneticPr fontId="3"/>
  </si>
  <si>
    <t>⑯＝①×②×③
×⑭/1,000,000×⑮</t>
    <phoneticPr fontId="3"/>
  </si>
  <si>
    <t xml:space="preserve">規制ﾊﾟﾀｰﾝ
①
NO.2
マンホール
規制
</t>
    <rPh sb="0" eb="2">
      <t>キセイ</t>
    </rPh>
    <rPh sb="21" eb="23">
      <t>キセイ</t>
    </rPh>
    <phoneticPr fontId="3"/>
  </si>
  <si>
    <t xml:space="preserve">規制ﾊﾟﾀｰﾝ
②
NO.1、NO.2
両マンホール
同時規制
</t>
    <rPh sb="0" eb="2">
      <t>キセイ</t>
    </rPh>
    <rPh sb="20" eb="21">
      <t>リョウ</t>
    </rPh>
    <rPh sb="27" eb="29">
      <t>ドウジ</t>
    </rPh>
    <rPh sb="29" eb="31">
      <t>キセイ</t>
    </rPh>
    <phoneticPr fontId="3"/>
  </si>
  <si>
    <t xml:space="preserve">規制ﾊﾟﾀｰﾝ
③
NO.1
マンホール
規制
</t>
    <rPh sb="0" eb="2">
      <t>キセイ</t>
    </rPh>
    <rPh sb="21" eb="23">
      <t>キセイ</t>
    </rPh>
    <phoneticPr fontId="3"/>
  </si>
  <si>
    <t xml:space="preserve">規制ﾊﾟﾀｰﾝ
④
管路部
(一般部）
交差点上流側
規制
</t>
    <rPh sb="0" eb="2">
      <t>キセイ</t>
    </rPh>
    <rPh sb="10" eb="12">
      <t>カンロ</t>
    </rPh>
    <rPh sb="12" eb="13">
      <t>ブ</t>
    </rPh>
    <rPh sb="15" eb="17">
      <t>イッパン</t>
    </rPh>
    <rPh sb="17" eb="18">
      <t>ブ</t>
    </rPh>
    <rPh sb="20" eb="23">
      <t>コウサテン</t>
    </rPh>
    <rPh sb="23" eb="25">
      <t>ジョウリュウ</t>
    </rPh>
    <rPh sb="25" eb="26">
      <t>ガワ</t>
    </rPh>
    <rPh sb="27" eb="29">
      <t>キセイ</t>
    </rPh>
    <phoneticPr fontId="3"/>
  </si>
  <si>
    <t xml:space="preserve">規制ﾊﾟﾀｰﾝ
⑤
管路部
（交差点部）
規制
</t>
    <rPh sb="0" eb="2">
      <t>キセイ</t>
    </rPh>
    <rPh sb="10" eb="12">
      <t>カンロ</t>
    </rPh>
    <rPh sb="12" eb="13">
      <t>ブ</t>
    </rPh>
    <rPh sb="15" eb="18">
      <t>コウサテン</t>
    </rPh>
    <rPh sb="18" eb="19">
      <t>ブ</t>
    </rPh>
    <rPh sb="21" eb="23">
      <t>キセイ</t>
    </rPh>
    <phoneticPr fontId="3"/>
  </si>
  <si>
    <r>
      <t>SO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健康被害影響
増分費用</t>
    </r>
    <phoneticPr fontId="3"/>
  </si>
  <si>
    <t>⑦＝①×②×③
×⑤/1,000,000×⑥</t>
    <phoneticPr fontId="3"/>
  </si>
  <si>
    <r>
      <t>CO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 xml:space="preserve">
排出係数</t>
    </r>
    <rPh sb="4" eb="6">
      <t>ハイシュツ</t>
    </rPh>
    <rPh sb="6" eb="8">
      <t>ケイスウ</t>
    </rPh>
    <phoneticPr fontId="3"/>
  </si>
  <si>
    <r>
      <t>CO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>環境負荷
費用原単位</t>
    </r>
    <rPh sb="3" eb="5">
      <t>カンキョウ</t>
    </rPh>
    <rPh sb="5" eb="7">
      <t>フカ</t>
    </rPh>
    <rPh sb="8" eb="10">
      <t>ヒヨウ</t>
    </rPh>
    <rPh sb="10" eb="13">
      <t>ゲンタンイ</t>
    </rPh>
    <phoneticPr fontId="3"/>
  </si>
  <si>
    <r>
      <t>CO</t>
    </r>
    <r>
      <rPr>
        <vertAlign val="subscript"/>
        <sz val="14"/>
        <rFont val="ＭＳ Ｐゴシック"/>
        <family val="3"/>
        <charset val="128"/>
        <scheme val="major"/>
      </rPr>
      <t>2</t>
    </r>
    <r>
      <rPr>
        <sz val="14"/>
        <rFont val="ＭＳ Ｐゴシック"/>
        <family val="3"/>
        <charset val="128"/>
        <scheme val="major"/>
      </rPr>
      <t>環境負荷
増分費用</t>
    </r>
    <rPh sb="3" eb="5">
      <t>カンキョウ</t>
    </rPh>
    <rPh sb="5" eb="7">
      <t>フカ</t>
    </rPh>
    <rPh sb="8" eb="10">
      <t>ゾウブン</t>
    </rPh>
    <rPh sb="10" eb="12">
      <t>ヒヨウ</t>
    </rPh>
    <phoneticPr fontId="3"/>
  </si>
  <si>
    <r>
      <t>CO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 xml:space="preserve">
排出係数</t>
    </r>
    <rPh sb="4" eb="6">
      <t>ハイシュツ</t>
    </rPh>
    <rPh sb="6" eb="8">
      <t>ケイスウ</t>
    </rPh>
    <phoneticPr fontId="3"/>
  </si>
  <si>
    <r>
      <t>CＯ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
影響
費用原単位</t>
    </r>
    <rPh sb="3" eb="5">
      <t>ケンコウ</t>
    </rPh>
    <rPh sb="5" eb="7">
      <t>ヒガイ</t>
    </rPh>
    <rPh sb="8" eb="10">
      <t>エイキョウ</t>
    </rPh>
    <rPh sb="11" eb="13">
      <t>ヒヨウ</t>
    </rPh>
    <rPh sb="13" eb="16">
      <t>ゲンタンイ</t>
    </rPh>
    <phoneticPr fontId="3"/>
  </si>
  <si>
    <r>
      <t>CO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
影響
増分費用</t>
    </r>
    <rPh sb="3" eb="5">
      <t>ケンコウ</t>
    </rPh>
    <rPh sb="5" eb="7">
      <t>ヒガイ</t>
    </rPh>
    <rPh sb="8" eb="10">
      <t>エイキョウ</t>
    </rPh>
    <rPh sb="11" eb="13">
      <t>ゾウブン</t>
    </rPh>
    <rPh sb="13" eb="15">
      <t>ヒヨウ</t>
    </rPh>
    <phoneticPr fontId="3"/>
  </si>
  <si>
    <r>
      <t>CO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健康被害影響
費用原単位</t>
    </r>
    <rPh sb="3" eb="5">
      <t>ケンコウ</t>
    </rPh>
    <rPh sb="5" eb="7">
      <t>ヒガイ</t>
    </rPh>
    <rPh sb="7" eb="9">
      <t>エイキョウ</t>
    </rPh>
    <rPh sb="10" eb="12">
      <t>ヒヨウ</t>
    </rPh>
    <rPh sb="12" eb="15">
      <t>ゲンタンイ</t>
    </rPh>
    <phoneticPr fontId="3"/>
  </si>
  <si>
    <r>
      <t>CO</t>
    </r>
    <r>
      <rPr>
        <vertAlign val="subscript"/>
        <sz val="11"/>
        <rFont val="ＭＳ Ｐゴシック"/>
        <family val="3"/>
        <charset val="128"/>
        <scheme val="major"/>
      </rPr>
      <t>2</t>
    </r>
    <r>
      <rPr>
        <sz val="11"/>
        <rFont val="ＭＳ Ｐゴシック"/>
        <family val="3"/>
        <charset val="128"/>
        <scheme val="major"/>
      </rPr>
      <t>健康被害影響
増分費用</t>
    </r>
    <rPh sb="3" eb="5">
      <t>ケンコウ</t>
    </rPh>
    <rPh sb="5" eb="7">
      <t>ヒガイ</t>
    </rPh>
    <rPh sb="7" eb="9">
      <t>エイキョウ</t>
    </rPh>
    <rPh sb="10" eb="12">
      <t>ゾウブン</t>
    </rPh>
    <rPh sb="12" eb="14">
      <t>ヒヨウ</t>
    </rPh>
    <phoneticPr fontId="3"/>
  </si>
  <si>
    <t>規制ﾊﾟﾀｰﾝ　①　　　　NO.2　　　　　　　　　　　　　　　マンホール規制　　　　　</t>
    <rPh sb="0" eb="2">
      <t>キセイ</t>
    </rPh>
    <rPh sb="37" eb="39">
      <t>キセイ</t>
    </rPh>
    <phoneticPr fontId="3"/>
  </si>
  <si>
    <t>⑨＝3*(①*②)/
(365*24)*⑧</t>
    <phoneticPr fontId="3"/>
  </si>
  <si>
    <t xml:space="preserve">表15-1（3.5.5-1）沿道居住者の外出行動に関する外部費用（外出断念増分）（非開削工法・開削工法）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</si>
</sst>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);\(#,##0\)"/>
    <numFmt numFmtId="177" formatCode="0.0"/>
    <numFmt numFmtId="178" formatCode="0_ "/>
    <numFmt numFmtId="179" formatCode="#,##0.0;[Red]\-#,##0.0"/>
    <numFmt numFmtId="180" formatCode="#,##0.000;[Red]\-#,##0.000"/>
    <numFmt numFmtId="181" formatCode="#,##0.0000;[Red]\-#,##0.0000"/>
    <numFmt numFmtId="182" formatCode="#,##0.000000;[Red]\-#,##0.000000"/>
    <numFmt numFmtId="183" formatCode="#,##0.00000000;[Red]\-#,##0.00000000"/>
  </numFmts>
  <fonts count="54"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1"/>
      <charset val="128"/>
      <scheme val="minor"/>
    </font>
    <font>
      <sz val="14"/>
      <name val="ＭＳ Ｐ明朝"/>
      <family val="1"/>
      <charset val="128"/>
    </font>
    <font>
      <sz val="10"/>
      <name val="Century Schoolbook"/>
      <family val="1"/>
    </font>
    <font>
      <sz val="14"/>
      <name val="Century Schoolbook"/>
      <family val="1"/>
    </font>
    <font>
      <sz val="10"/>
      <name val="ＭＳ Ｐ明朝"/>
      <family val="1"/>
      <charset val="128"/>
    </font>
    <font>
      <sz val="11"/>
      <name val="ＭＳ Ｐゴシック"/>
      <family val="2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u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vertAlign val="superscript"/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vertAlign val="subscript"/>
      <sz val="11"/>
      <name val="ＭＳ Ｐゴシック"/>
      <family val="3"/>
      <charset val="128"/>
    </font>
    <font>
      <sz val="14"/>
      <name val="ＭＳ Ｐゴシック"/>
      <family val="2"/>
      <charset val="128"/>
      <scheme val="major"/>
    </font>
    <font>
      <vertAlign val="superscript"/>
      <sz val="1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vertAlign val="subscript"/>
      <sz val="11"/>
      <name val="ＭＳ Ｐゴシック"/>
      <family val="3"/>
      <charset val="128"/>
      <scheme val="major"/>
    </font>
    <font>
      <vertAlign val="subscript"/>
      <sz val="10"/>
      <name val="ＭＳ Ｐゴシック"/>
      <family val="3"/>
      <charset val="128"/>
      <scheme val="major"/>
    </font>
    <font>
      <vertAlign val="subscript"/>
      <sz val="14"/>
      <name val="ＭＳ Ｐゴシック"/>
      <family val="3"/>
      <charset val="128"/>
      <scheme val="major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ajor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6"/>
      <name val="ＭＳ Ｐゴシック"/>
      <family val="2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b/>
      <sz val="16"/>
      <name val="Calibri"/>
      <family val="2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6">
    <xf numFmtId="0" fontId="0" fillId="0" borderId="0" xfId="0">
      <alignment vertical="center"/>
    </xf>
    <xf numFmtId="0" fontId="0" fillId="0" borderId="0" xfId="0" applyFill="1">
      <alignment vertical="center"/>
    </xf>
    <xf numFmtId="38" fontId="0" fillId="0" borderId="0" xfId="1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56" fontId="16" fillId="0" borderId="0" xfId="2" applyNumberFormat="1" applyFont="1" applyFill="1" applyAlignment="1">
      <alignment horizontal="centerContinuous" vertical="center"/>
    </xf>
    <xf numFmtId="0" fontId="16" fillId="0" borderId="0" xfId="2" applyFont="1" applyFill="1" applyAlignment="1">
      <alignment horizontal="centerContinuous" vertical="center"/>
    </xf>
    <xf numFmtId="41" fontId="16" fillId="0" borderId="0" xfId="2" applyNumberFormat="1" applyFont="1" applyFill="1" applyAlignment="1">
      <alignment horizontal="centerContinuous" vertical="center"/>
    </xf>
    <xf numFmtId="38" fontId="16" fillId="0" borderId="0" xfId="2" applyNumberFormat="1" applyFont="1" applyFill="1" applyAlignment="1">
      <alignment horizontal="centerContinuous" vertical="center"/>
    </xf>
    <xf numFmtId="0" fontId="16" fillId="0" borderId="0" xfId="2" applyFont="1" applyFill="1">
      <alignment vertical="center"/>
    </xf>
    <xf numFmtId="41" fontId="14" fillId="0" borderId="21" xfId="2" applyNumberFormat="1" applyFont="1" applyFill="1" applyBorder="1" applyAlignment="1">
      <alignment horizontal="center" vertical="center" wrapText="1"/>
    </xf>
    <xf numFmtId="38" fontId="14" fillId="0" borderId="22" xfId="2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>
      <alignment vertical="center"/>
    </xf>
    <xf numFmtId="176" fontId="18" fillId="0" borderId="31" xfId="2" applyNumberFormat="1" applyFont="1" applyFill="1" applyBorder="1" applyAlignment="1">
      <alignment vertical="center"/>
    </xf>
    <xf numFmtId="176" fontId="18" fillId="0" borderId="40" xfId="2" applyNumberFormat="1" applyFont="1" applyFill="1" applyBorder="1" applyAlignment="1">
      <alignment vertical="center"/>
    </xf>
    <xf numFmtId="176" fontId="18" fillId="0" borderId="30" xfId="2" applyNumberFormat="1" applyFont="1" applyFill="1" applyBorder="1" applyAlignment="1">
      <alignment vertical="center"/>
    </xf>
    <xf numFmtId="178" fontId="18" fillId="0" borderId="50" xfId="2" applyNumberFormat="1" applyFont="1" applyFill="1" applyBorder="1" applyAlignment="1">
      <alignment vertical="center"/>
    </xf>
    <xf numFmtId="178" fontId="18" fillId="0" borderId="49" xfId="2" applyNumberFormat="1" applyFont="1" applyFill="1" applyBorder="1" applyAlignment="1">
      <alignment vertical="center"/>
    </xf>
    <xf numFmtId="178" fontId="18" fillId="0" borderId="31" xfId="2" applyNumberFormat="1" applyFont="1" applyFill="1" applyBorder="1" applyAlignment="1">
      <alignment vertical="center"/>
    </xf>
    <xf numFmtId="178" fontId="18" fillId="0" borderId="30" xfId="2" applyNumberFormat="1" applyFont="1" applyFill="1" applyBorder="1" applyAlignment="1">
      <alignment vertical="center"/>
    </xf>
    <xf numFmtId="178" fontId="18" fillId="0" borderId="31" xfId="2" applyNumberFormat="1" applyFont="1" applyFill="1" applyBorder="1" applyAlignment="1">
      <alignment vertical="center" wrapText="1"/>
    </xf>
    <xf numFmtId="178" fontId="18" fillId="0" borderId="30" xfId="2" applyNumberFormat="1" applyFont="1" applyFill="1" applyBorder="1" applyAlignment="1">
      <alignment vertical="center" wrapText="1"/>
    </xf>
    <xf numFmtId="3" fontId="18" fillId="0" borderId="25" xfId="2" applyNumberFormat="1" applyFont="1" applyFill="1" applyBorder="1" applyAlignment="1">
      <alignment vertical="center"/>
    </xf>
    <xf numFmtId="176" fontId="18" fillId="0" borderId="51" xfId="2" applyNumberFormat="1" applyFont="1" applyFill="1" applyBorder="1" applyAlignment="1">
      <alignment vertical="center"/>
    </xf>
    <xf numFmtId="176" fontId="18" fillId="0" borderId="52" xfId="2" applyNumberFormat="1" applyFont="1" applyFill="1" applyBorder="1" applyAlignment="1">
      <alignment vertical="center"/>
    </xf>
    <xf numFmtId="176" fontId="18" fillId="0" borderId="53" xfId="2" applyNumberFormat="1" applyFont="1" applyFill="1" applyBorder="1" applyAlignment="1">
      <alignment vertical="center"/>
    </xf>
    <xf numFmtId="41" fontId="14" fillId="0" borderId="0" xfId="2" applyNumberFormat="1" applyFont="1" applyFill="1">
      <alignment vertical="center"/>
    </xf>
    <xf numFmtId="38" fontId="14" fillId="0" borderId="0" xfId="2" applyNumberFormat="1" applyFont="1" applyFill="1" applyAlignment="1">
      <alignment horizontal="center" vertical="center"/>
    </xf>
    <xf numFmtId="180" fontId="21" fillId="0" borderId="3" xfId="1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38" fontId="14" fillId="0" borderId="0" xfId="2" applyNumberFormat="1" applyFont="1" applyFill="1">
      <alignment vertical="center"/>
    </xf>
    <xf numFmtId="49" fontId="0" fillId="0" borderId="0" xfId="0" applyNumberFormat="1" applyFill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49" fontId="11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/>
    </xf>
    <xf numFmtId="38" fontId="11" fillId="0" borderId="0" xfId="1" applyFont="1" applyFill="1">
      <alignment vertical="center"/>
    </xf>
    <xf numFmtId="0" fontId="34" fillId="0" borderId="0" xfId="0" applyFont="1" applyFill="1">
      <alignment vertical="center"/>
    </xf>
    <xf numFmtId="49" fontId="12" fillId="0" borderId="0" xfId="0" applyNumberFormat="1" applyFont="1" applyFill="1">
      <alignment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>
      <alignment vertical="center"/>
    </xf>
    <xf numFmtId="38" fontId="11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49" fontId="10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179" fontId="13" fillId="0" borderId="2" xfId="1" applyNumberFormat="1" applyFont="1" applyFill="1" applyBorder="1" applyAlignment="1">
      <alignment horizontal="center" vertical="center" wrapText="1"/>
    </xf>
    <xf numFmtId="179" fontId="13" fillId="0" borderId="4" xfId="1" applyNumberFormat="1" applyFont="1" applyFill="1" applyBorder="1" applyAlignment="1">
      <alignment horizontal="center" vertical="center" wrapText="1"/>
    </xf>
    <xf numFmtId="0" fontId="13" fillId="0" borderId="9" xfId="0" applyFont="1" applyFill="1" applyBorder="1">
      <alignment vertical="center"/>
    </xf>
    <xf numFmtId="0" fontId="13" fillId="0" borderId="32" xfId="0" applyFont="1" applyFill="1" applyBorder="1">
      <alignment vertical="center"/>
    </xf>
    <xf numFmtId="0" fontId="13" fillId="0" borderId="68" xfId="0" applyFont="1" applyFill="1" applyBorder="1">
      <alignment vertical="center"/>
    </xf>
    <xf numFmtId="0" fontId="13" fillId="0" borderId="67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1" applyNumberFormat="1" applyFont="1" applyFill="1">
      <alignment vertical="center"/>
    </xf>
    <xf numFmtId="38" fontId="13" fillId="0" borderId="0" xfId="1" applyFont="1" applyFill="1">
      <alignment vertical="center"/>
    </xf>
    <xf numFmtId="0" fontId="13" fillId="0" borderId="0" xfId="0" applyFont="1" applyFill="1" applyAlignment="1">
      <alignment vertical="center"/>
    </xf>
    <xf numFmtId="38" fontId="13" fillId="0" borderId="0" xfId="1" applyFont="1" applyFill="1" applyAlignment="1">
      <alignment vertical="center"/>
    </xf>
    <xf numFmtId="0" fontId="21" fillId="0" borderId="0" xfId="0" applyFont="1">
      <alignment vertical="center"/>
    </xf>
    <xf numFmtId="0" fontId="21" fillId="0" borderId="9" xfId="0" applyFont="1" applyFill="1" applyBorder="1">
      <alignment vertical="center"/>
    </xf>
    <xf numFmtId="0" fontId="21" fillId="0" borderId="11" xfId="0" applyFont="1" applyFill="1" applyBorder="1">
      <alignment vertical="center"/>
    </xf>
    <xf numFmtId="0" fontId="21" fillId="0" borderId="32" xfId="0" applyFont="1" applyFill="1" applyBorder="1">
      <alignment vertical="center"/>
    </xf>
    <xf numFmtId="0" fontId="20" fillId="0" borderId="0" xfId="0" applyFont="1" applyFill="1">
      <alignment vertical="center"/>
    </xf>
    <xf numFmtId="38" fontId="20" fillId="0" borderId="0" xfId="1" applyFont="1" applyFill="1">
      <alignment vertical="center"/>
    </xf>
    <xf numFmtId="40" fontId="20" fillId="0" borderId="0" xfId="1" applyNumberFormat="1" applyFont="1" applyFill="1">
      <alignment vertical="center"/>
    </xf>
    <xf numFmtId="0" fontId="36" fillId="0" borderId="0" xfId="0" applyFont="1" applyFill="1" applyBorder="1" applyAlignment="1">
      <alignment vertical="center"/>
    </xf>
    <xf numFmtId="38" fontId="20" fillId="0" borderId="17" xfId="1" applyFont="1" applyFill="1" applyBorder="1" applyAlignment="1">
      <alignment vertical="center"/>
    </xf>
    <xf numFmtId="38" fontId="20" fillId="0" borderId="2" xfId="1" applyFont="1" applyFill="1" applyBorder="1" applyAlignment="1">
      <alignment horizontal="center" vertical="center" wrapText="1"/>
    </xf>
    <xf numFmtId="38" fontId="20" fillId="0" borderId="1" xfId="1" applyFont="1" applyFill="1" applyBorder="1" applyAlignment="1">
      <alignment horizontal="center" vertical="center"/>
    </xf>
    <xf numFmtId="40" fontId="28" fillId="0" borderId="3" xfId="1" applyNumberFormat="1" applyFont="1" applyFill="1" applyBorder="1" applyAlignment="1">
      <alignment horizontal="center" vertical="center" wrapText="1"/>
    </xf>
    <xf numFmtId="38" fontId="19" fillId="0" borderId="0" xfId="1" applyFont="1" applyFill="1" applyAlignment="1">
      <alignment vertical="center"/>
    </xf>
    <xf numFmtId="38" fontId="19" fillId="0" borderId="0" xfId="1" applyFont="1" applyFill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38" fontId="19" fillId="0" borderId="8" xfId="1" applyFont="1" applyFill="1" applyBorder="1" applyAlignment="1">
      <alignment vertical="center"/>
    </xf>
    <xf numFmtId="179" fontId="19" fillId="0" borderId="8" xfId="1" applyNumberFormat="1" applyFont="1" applyFill="1" applyBorder="1" applyAlignment="1">
      <alignment vertical="center"/>
    </xf>
    <xf numFmtId="38" fontId="19" fillId="0" borderId="8" xfId="1" applyFont="1" applyFill="1" applyBorder="1">
      <alignment vertical="center"/>
    </xf>
    <xf numFmtId="40" fontId="19" fillId="0" borderId="6" xfId="1" applyNumberFormat="1" applyFont="1" applyFill="1" applyBorder="1">
      <alignment vertical="center"/>
    </xf>
    <xf numFmtId="38" fontId="21" fillId="0" borderId="0" xfId="1" applyFont="1" applyFill="1">
      <alignment vertical="center"/>
    </xf>
    <xf numFmtId="38" fontId="21" fillId="0" borderId="0" xfId="1" applyFont="1" applyFill="1" applyAlignment="1">
      <alignment horizontal="center" vertical="center"/>
    </xf>
    <xf numFmtId="38" fontId="21" fillId="0" borderId="8" xfId="1" applyFont="1" applyFill="1" applyBorder="1" applyAlignment="1">
      <alignment vertical="center"/>
    </xf>
    <xf numFmtId="179" fontId="21" fillId="0" borderId="8" xfId="1" applyNumberFormat="1" applyFont="1" applyFill="1" applyBorder="1" applyAlignment="1">
      <alignment vertical="center"/>
    </xf>
    <xf numFmtId="40" fontId="21" fillId="0" borderId="8" xfId="1" applyNumberFormat="1" applyFont="1" applyFill="1" applyBorder="1" applyAlignment="1">
      <alignment vertical="center"/>
    </xf>
    <xf numFmtId="38" fontId="21" fillId="0" borderId="8" xfId="1" applyFont="1" applyFill="1" applyBorder="1">
      <alignment vertical="center"/>
    </xf>
    <xf numFmtId="40" fontId="21" fillId="0" borderId="6" xfId="1" applyNumberFormat="1" applyFont="1" applyFill="1" applyBorder="1">
      <alignment vertical="center"/>
    </xf>
    <xf numFmtId="38" fontId="13" fillId="0" borderId="3" xfId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 wrapText="1"/>
    </xf>
    <xf numFmtId="38" fontId="39" fillId="0" borderId="0" xfId="1" applyFont="1" applyFill="1" applyAlignment="1">
      <alignment vertical="center"/>
    </xf>
    <xf numFmtId="179" fontId="13" fillId="0" borderId="3" xfId="1" applyNumberFormat="1" applyFont="1" applyFill="1" applyBorder="1" applyAlignment="1">
      <alignment horizontal="center" vertical="center"/>
    </xf>
    <xf numFmtId="180" fontId="21" fillId="0" borderId="1" xfId="1" applyNumberFormat="1" applyFont="1" applyFill="1" applyBorder="1" applyAlignment="1">
      <alignment horizontal="center" vertical="center"/>
    </xf>
    <xf numFmtId="179" fontId="21" fillId="0" borderId="1" xfId="1" applyNumberFormat="1" applyFont="1" applyFill="1" applyBorder="1" applyAlignment="1">
      <alignment horizontal="center" vertical="center"/>
    </xf>
    <xf numFmtId="179" fontId="21" fillId="0" borderId="1" xfId="1" applyNumberFormat="1" applyFont="1" applyFill="1" applyBorder="1" applyAlignment="1">
      <alignment horizontal="center" vertical="center" wrapText="1"/>
    </xf>
    <xf numFmtId="179" fontId="21" fillId="0" borderId="0" xfId="1" applyNumberFormat="1" applyFont="1" applyFill="1">
      <alignment vertical="center"/>
    </xf>
    <xf numFmtId="180" fontId="21" fillId="0" borderId="0" xfId="1" applyNumberFormat="1" applyFont="1" applyFill="1">
      <alignment vertical="center"/>
    </xf>
    <xf numFmtId="180" fontId="21" fillId="0" borderId="2" xfId="1" applyNumberFormat="1" applyFont="1" applyFill="1" applyBorder="1" applyAlignment="1">
      <alignment horizontal="center" vertical="center"/>
    </xf>
    <xf numFmtId="179" fontId="21" fillId="0" borderId="2" xfId="1" applyNumberFormat="1" applyFont="1" applyFill="1" applyBorder="1" applyAlignment="1">
      <alignment horizontal="center" vertical="center" wrapText="1"/>
    </xf>
    <xf numFmtId="38" fontId="21" fillId="0" borderId="18" xfId="1" applyFont="1" applyFill="1" applyBorder="1">
      <alignment vertical="center"/>
    </xf>
    <xf numFmtId="38" fontId="21" fillId="0" borderId="4" xfId="1" applyFont="1" applyFill="1" applyBorder="1">
      <alignment vertical="center"/>
    </xf>
    <xf numFmtId="180" fontId="21" fillId="0" borderId="8" xfId="1" applyNumberFormat="1" applyFont="1" applyFill="1" applyBorder="1">
      <alignment vertical="center"/>
    </xf>
    <xf numFmtId="179" fontId="21" fillId="0" borderId="8" xfId="1" applyNumberFormat="1" applyFont="1" applyFill="1" applyBorder="1">
      <alignment vertical="center"/>
    </xf>
    <xf numFmtId="180" fontId="13" fillId="0" borderId="3" xfId="1" applyNumberFormat="1" applyFont="1" applyFill="1" applyBorder="1" applyAlignment="1">
      <alignment horizontal="center" vertical="center"/>
    </xf>
    <xf numFmtId="181" fontId="21" fillId="0" borderId="0" xfId="1" applyNumberFormat="1" applyFont="1" applyFill="1">
      <alignment vertical="center"/>
    </xf>
    <xf numFmtId="38" fontId="21" fillId="0" borderId="0" xfId="1" applyNumberFormat="1" applyFont="1" applyFill="1">
      <alignment vertical="center"/>
    </xf>
    <xf numFmtId="181" fontId="21" fillId="0" borderId="2" xfId="1" applyNumberFormat="1" applyFont="1" applyFill="1" applyBorder="1" applyAlignment="1">
      <alignment horizontal="center" vertical="center" wrapText="1"/>
    </xf>
    <xf numFmtId="38" fontId="21" fillId="0" borderId="2" xfId="1" applyNumberFormat="1" applyFont="1" applyFill="1" applyBorder="1" applyAlignment="1">
      <alignment horizontal="center" vertical="center" wrapText="1"/>
    </xf>
    <xf numFmtId="181" fontId="13" fillId="0" borderId="3" xfId="1" applyNumberFormat="1" applyFont="1" applyFill="1" applyBorder="1" applyAlignment="1">
      <alignment horizontal="center" vertical="center"/>
    </xf>
    <xf numFmtId="38" fontId="13" fillId="0" borderId="3" xfId="1" applyNumberFormat="1" applyFont="1" applyFill="1" applyBorder="1" applyAlignment="1">
      <alignment horizontal="center" vertical="center" wrapText="1"/>
    </xf>
    <xf numFmtId="181" fontId="21" fillId="0" borderId="1" xfId="1" applyNumberFormat="1" applyFont="1" applyFill="1" applyBorder="1" applyAlignment="1">
      <alignment horizontal="center" vertical="center"/>
    </xf>
    <xf numFmtId="38" fontId="21" fillId="0" borderId="1" xfId="1" applyNumberFormat="1" applyFont="1" applyFill="1" applyBorder="1" applyAlignment="1">
      <alignment horizontal="center" vertical="center" wrapText="1"/>
    </xf>
    <xf numFmtId="181" fontId="21" fillId="0" borderId="1" xfId="1" applyNumberFormat="1" applyFont="1" applyFill="1" applyBorder="1" applyAlignment="1">
      <alignment horizontal="center" vertical="center" wrapText="1"/>
    </xf>
    <xf numFmtId="181" fontId="21" fillId="0" borderId="8" xfId="1" applyNumberFormat="1" applyFont="1" applyFill="1" applyBorder="1">
      <alignment vertical="center"/>
    </xf>
    <xf numFmtId="38" fontId="21" fillId="0" borderId="6" xfId="1" applyNumberFormat="1" applyFont="1" applyFill="1" applyBorder="1">
      <alignment vertical="center"/>
    </xf>
    <xf numFmtId="40" fontId="13" fillId="0" borderId="3" xfId="1" applyNumberFormat="1" applyFont="1" applyFill="1" applyBorder="1" applyAlignment="1">
      <alignment horizontal="center" vertical="center" wrapText="1"/>
    </xf>
    <xf numFmtId="40" fontId="21" fillId="0" borderId="0" xfId="1" applyNumberFormat="1" applyFont="1" applyFill="1">
      <alignment vertical="center"/>
    </xf>
    <xf numFmtId="40" fontId="21" fillId="0" borderId="2" xfId="1" applyNumberFormat="1" applyFont="1" applyFill="1" applyBorder="1" applyAlignment="1">
      <alignment horizontal="center" vertical="center" wrapText="1"/>
    </xf>
    <xf numFmtId="40" fontId="21" fillId="0" borderId="1" xfId="1" applyNumberFormat="1" applyFont="1" applyFill="1" applyBorder="1" applyAlignment="1">
      <alignment horizontal="center" vertical="center" wrapText="1"/>
    </xf>
    <xf numFmtId="38" fontId="21" fillId="0" borderId="8" xfId="1" applyNumberFormat="1" applyFont="1" applyFill="1" applyBorder="1">
      <alignment vertical="center"/>
    </xf>
    <xf numFmtId="181" fontId="19" fillId="0" borderId="0" xfId="1" applyNumberFormat="1" applyFont="1" applyFill="1">
      <alignment vertical="center"/>
    </xf>
    <xf numFmtId="40" fontId="19" fillId="0" borderId="0" xfId="1" applyNumberFormat="1" applyFont="1" applyFill="1">
      <alignment vertical="center"/>
    </xf>
    <xf numFmtId="38" fontId="19" fillId="0" borderId="8" xfId="1" applyNumberFormat="1" applyFont="1" applyFill="1" applyBorder="1">
      <alignment vertical="center"/>
    </xf>
    <xf numFmtId="40" fontId="21" fillId="0" borderId="0" xfId="1" applyNumberFormat="1" applyFont="1" applyFill="1" applyAlignment="1">
      <alignment horizontal="left" vertical="center"/>
    </xf>
    <xf numFmtId="38" fontId="19" fillId="0" borderId="0" xfId="1" applyNumberFormat="1" applyFont="1" applyFill="1">
      <alignment vertical="center"/>
    </xf>
    <xf numFmtId="38" fontId="19" fillId="0" borderId="6" xfId="1" applyNumberFormat="1" applyFont="1" applyFill="1" applyBorder="1">
      <alignment vertical="center"/>
    </xf>
    <xf numFmtId="38" fontId="19" fillId="0" borderId="17" xfId="1" applyFont="1" applyFill="1" applyBorder="1" applyAlignment="1">
      <alignment vertical="center"/>
    </xf>
    <xf numFmtId="38" fontId="19" fillId="0" borderId="17" xfId="1" applyFont="1" applyFill="1" applyBorder="1">
      <alignment vertical="center"/>
    </xf>
    <xf numFmtId="38" fontId="19" fillId="0" borderId="17" xfId="1" applyNumberFormat="1" applyFont="1" applyFill="1" applyBorder="1">
      <alignment vertical="center"/>
    </xf>
    <xf numFmtId="38" fontId="19" fillId="0" borderId="14" xfId="1" applyNumberFormat="1" applyFont="1" applyFill="1" applyBorder="1">
      <alignment vertical="center"/>
    </xf>
    <xf numFmtId="38" fontId="23" fillId="0" borderId="0" xfId="1" applyFont="1" applyFill="1" applyAlignment="1">
      <alignment horizontal="left" vertical="center"/>
    </xf>
    <xf numFmtId="38" fontId="22" fillId="0" borderId="0" xfId="1" applyFont="1" applyFill="1" applyAlignment="1">
      <alignment horizontal="center" vertical="center"/>
    </xf>
    <xf numFmtId="38" fontId="21" fillId="0" borderId="14" xfId="1" applyNumberFormat="1" applyFont="1" applyFill="1" applyBorder="1">
      <alignment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180" fontId="21" fillId="0" borderId="2" xfId="1" applyNumberFormat="1" applyFont="1" applyFill="1" applyBorder="1" applyAlignment="1">
      <alignment horizontal="center" vertical="center" wrapText="1"/>
    </xf>
    <xf numFmtId="180" fontId="21" fillId="0" borderId="4" xfId="1" applyNumberFormat="1" applyFont="1" applyFill="1" applyBorder="1" applyAlignment="1">
      <alignment horizontal="center" vertical="center"/>
    </xf>
    <xf numFmtId="180" fontId="21" fillId="0" borderId="4" xfId="1" applyNumberFormat="1" applyFont="1" applyFill="1" applyBorder="1" applyAlignment="1">
      <alignment horizontal="center" vertical="center" wrapText="1"/>
    </xf>
    <xf numFmtId="0" fontId="25" fillId="0" borderId="9" xfId="0" applyFont="1" applyFill="1" applyBorder="1">
      <alignment vertical="center"/>
    </xf>
    <xf numFmtId="0" fontId="25" fillId="0" borderId="11" xfId="0" applyFont="1" applyFill="1" applyBorder="1">
      <alignment vertical="center"/>
    </xf>
    <xf numFmtId="0" fontId="21" fillId="0" borderId="0" xfId="0" applyFont="1" applyFill="1">
      <alignment vertical="center"/>
    </xf>
    <xf numFmtId="180" fontId="21" fillId="0" borderId="0" xfId="0" applyNumberFormat="1" applyFont="1" applyFill="1">
      <alignment vertical="center"/>
    </xf>
    <xf numFmtId="38" fontId="23" fillId="0" borderId="0" xfId="1" applyNumberFormat="1" applyFont="1" applyFill="1">
      <alignment vertical="center"/>
    </xf>
    <xf numFmtId="40" fontId="19" fillId="0" borderId="8" xfId="1" applyNumberFormat="1" applyFont="1" applyFill="1" applyBorder="1">
      <alignment vertical="center"/>
    </xf>
    <xf numFmtId="181" fontId="19" fillId="0" borderId="8" xfId="1" applyNumberFormat="1" applyFont="1" applyFill="1" applyBorder="1">
      <alignment vertical="center"/>
    </xf>
    <xf numFmtId="38" fontId="31" fillId="0" borderId="0" xfId="1" applyFont="1" applyFill="1" applyAlignment="1">
      <alignment horizontal="left" vertical="center"/>
    </xf>
    <xf numFmtId="181" fontId="19" fillId="0" borderId="17" xfId="1" applyNumberFormat="1" applyFont="1" applyFill="1" applyBorder="1">
      <alignment vertical="center"/>
    </xf>
    <xf numFmtId="38" fontId="39" fillId="0" borderId="0" xfId="1" applyFont="1" applyFill="1" applyAlignment="1">
      <alignment horizontal="center" vertical="center"/>
    </xf>
    <xf numFmtId="181" fontId="21" fillId="0" borderId="3" xfId="1" applyNumberFormat="1" applyFont="1" applyFill="1" applyBorder="1" applyAlignment="1">
      <alignment horizontal="center" vertical="center" wrapText="1"/>
    </xf>
    <xf numFmtId="38" fontId="21" fillId="0" borderId="1" xfId="1" applyNumberFormat="1" applyFont="1" applyFill="1" applyBorder="1" applyAlignment="1">
      <alignment horizontal="center" vertical="center"/>
    </xf>
    <xf numFmtId="38" fontId="21" fillId="0" borderId="1" xfId="1" applyFont="1" applyFill="1" applyBorder="1" applyAlignment="1">
      <alignment vertical="center"/>
    </xf>
    <xf numFmtId="38" fontId="21" fillId="0" borderId="3" xfId="1" applyFont="1" applyFill="1" applyBorder="1" applyAlignment="1">
      <alignment vertical="center"/>
    </xf>
    <xf numFmtId="182" fontId="21" fillId="0" borderId="8" xfId="1" applyNumberFormat="1" applyFont="1" applyFill="1" applyBorder="1">
      <alignment vertical="center"/>
    </xf>
    <xf numFmtId="38" fontId="21" fillId="0" borderId="18" xfId="1" applyFont="1" applyFill="1" applyBorder="1" applyAlignment="1">
      <alignment vertical="center"/>
    </xf>
    <xf numFmtId="38" fontId="13" fillId="0" borderId="4" xfId="1" applyFont="1" applyFill="1" applyBorder="1" applyAlignment="1">
      <alignment horizontal="center" vertical="center"/>
    </xf>
    <xf numFmtId="38" fontId="13" fillId="0" borderId="4" xfId="1" applyNumberFormat="1" applyFont="1" applyFill="1" applyBorder="1" applyAlignment="1">
      <alignment horizontal="center" vertical="center"/>
    </xf>
    <xf numFmtId="38" fontId="13" fillId="0" borderId="4" xfId="1" applyFont="1" applyFill="1" applyBorder="1" applyAlignment="1">
      <alignment horizontal="center" vertical="center" wrapText="1"/>
    </xf>
    <xf numFmtId="181" fontId="21" fillId="0" borderId="3" xfId="1" applyNumberFormat="1" applyFont="1" applyFill="1" applyBorder="1" applyAlignment="1">
      <alignment horizontal="center" vertical="center"/>
    </xf>
    <xf numFmtId="38" fontId="21" fillId="0" borderId="0" xfId="1" applyFont="1" applyFill="1" applyAlignment="1">
      <alignment vertical="center"/>
    </xf>
    <xf numFmtId="38" fontId="21" fillId="0" borderId="0" xfId="1" applyNumberFormat="1" applyFont="1" applyFill="1" applyAlignment="1">
      <alignment vertical="center"/>
    </xf>
    <xf numFmtId="38" fontId="21" fillId="0" borderId="46" xfId="1" applyFont="1" applyFill="1" applyBorder="1" applyAlignment="1">
      <alignment vertical="center"/>
    </xf>
    <xf numFmtId="40" fontId="21" fillId="0" borderId="8" xfId="1" applyNumberFormat="1" applyFont="1" applyFill="1" applyBorder="1">
      <alignment vertical="center"/>
    </xf>
    <xf numFmtId="38" fontId="21" fillId="0" borderId="48" xfId="1" applyFont="1" applyFill="1" applyBorder="1" applyAlignment="1">
      <alignment vertical="center"/>
    </xf>
    <xf numFmtId="38" fontId="21" fillId="0" borderId="17" xfId="1" applyNumberFormat="1" applyFont="1" applyFill="1" applyBorder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0" xfId="4" applyFont="1" applyFill="1" applyAlignment="1">
      <alignment vertical="center"/>
    </xf>
    <xf numFmtId="0" fontId="21" fillId="0" borderId="0" xfId="4" applyFont="1" applyFill="1">
      <alignment vertical="center"/>
    </xf>
    <xf numFmtId="40" fontId="21" fillId="0" borderId="0" xfId="5" applyNumberFormat="1" applyFont="1" applyFill="1">
      <alignment vertical="center"/>
    </xf>
    <xf numFmtId="38" fontId="21" fillId="0" borderId="0" xfId="5" applyFont="1" applyFill="1">
      <alignment vertical="center"/>
    </xf>
    <xf numFmtId="0" fontId="21" fillId="0" borderId="0" xfId="4" applyFont="1" applyFill="1" applyBorder="1">
      <alignment vertical="center"/>
    </xf>
    <xf numFmtId="40" fontId="21" fillId="0" borderId="4" xfId="5" applyNumberFormat="1" applyFont="1" applyFill="1" applyBorder="1" applyAlignment="1">
      <alignment horizontal="center" vertical="center"/>
    </xf>
    <xf numFmtId="38" fontId="21" fillId="0" borderId="7" xfId="5" applyFont="1" applyFill="1" applyBorder="1" applyAlignment="1">
      <alignment horizontal="center" vertical="center"/>
    </xf>
    <xf numFmtId="38" fontId="21" fillId="0" borderId="54" xfId="5" applyFont="1" applyFill="1" applyBorder="1" applyAlignment="1">
      <alignment horizontal="center" vertical="center"/>
    </xf>
    <xf numFmtId="38" fontId="21" fillId="0" borderId="14" xfId="5" applyFont="1" applyFill="1" applyBorder="1" applyAlignment="1">
      <alignment horizontal="center" vertical="center"/>
    </xf>
    <xf numFmtId="38" fontId="13" fillId="0" borderId="63" xfId="5" applyFont="1" applyFill="1" applyBorder="1" applyAlignment="1">
      <alignment horizontal="center" vertical="center"/>
    </xf>
    <xf numFmtId="38" fontId="21" fillId="0" borderId="54" xfId="5" applyFont="1" applyFill="1" applyBorder="1" applyAlignment="1">
      <alignment horizontal="center" vertical="center" wrapText="1"/>
    </xf>
    <xf numFmtId="38" fontId="21" fillId="0" borderId="63" xfId="5" applyFont="1" applyFill="1" applyBorder="1" applyAlignment="1">
      <alignment horizontal="center" vertical="center" wrapText="1"/>
    </xf>
    <xf numFmtId="40" fontId="21" fillId="0" borderId="4" xfId="5" applyNumberFormat="1" applyFont="1" applyFill="1" applyBorder="1" applyAlignment="1">
      <alignment horizontal="center" vertical="center" wrapText="1"/>
    </xf>
    <xf numFmtId="38" fontId="21" fillId="0" borderId="7" xfId="5" applyFont="1" applyFill="1" applyBorder="1" applyAlignment="1">
      <alignment horizontal="center" vertical="center" wrapText="1"/>
    </xf>
    <xf numFmtId="0" fontId="21" fillId="0" borderId="14" xfId="4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vertical="center" wrapText="1"/>
    </xf>
    <xf numFmtId="38" fontId="21" fillId="0" borderId="0" xfId="5" applyFont="1" applyFill="1" applyAlignment="1">
      <alignment horizontal="left" vertical="center"/>
    </xf>
    <xf numFmtId="38" fontId="21" fillId="0" borderId="64" xfId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38" fontId="38" fillId="0" borderId="0" xfId="1" applyFont="1" applyFill="1" applyAlignment="1">
      <alignment vertical="center"/>
    </xf>
    <xf numFmtId="38" fontId="38" fillId="0" borderId="0" xfId="1" applyFont="1" applyFill="1" applyAlignment="1">
      <alignment horizontal="left" vertical="center"/>
    </xf>
    <xf numFmtId="0" fontId="21" fillId="0" borderId="1" xfId="4" applyFont="1" applyFill="1" applyBorder="1" applyAlignment="1">
      <alignment horizontal="center" vertical="center" wrapText="1"/>
    </xf>
    <xf numFmtId="38" fontId="21" fillId="0" borderId="68" xfId="5" applyFont="1" applyFill="1" applyBorder="1" applyAlignment="1">
      <alignment horizontal="center" vertical="center" wrapText="1"/>
    </xf>
    <xf numFmtId="38" fontId="21" fillId="0" borderId="26" xfId="5" applyFont="1" applyFill="1" applyBorder="1" applyAlignment="1">
      <alignment horizontal="center" vertical="center" wrapText="1"/>
    </xf>
    <xf numFmtId="38" fontId="21" fillId="0" borderId="8" xfId="5" applyFont="1" applyFill="1" applyBorder="1" applyAlignment="1">
      <alignment horizontal="center" vertical="center" wrapText="1"/>
    </xf>
    <xf numFmtId="40" fontId="21" fillId="0" borderId="7" xfId="5" applyNumberFormat="1" applyFont="1" applyFill="1" applyBorder="1" applyAlignment="1">
      <alignment horizontal="center" vertical="center" wrapText="1"/>
    </xf>
    <xf numFmtId="38" fontId="21" fillId="0" borderId="59" xfId="1" applyFont="1" applyFill="1" applyBorder="1" applyAlignment="1">
      <alignment horizontal="center" vertical="center" wrapText="1"/>
    </xf>
    <xf numFmtId="182" fontId="19" fillId="0" borderId="0" xfId="1" applyNumberFormat="1" applyFont="1" applyFill="1">
      <alignment vertical="center"/>
    </xf>
    <xf numFmtId="181" fontId="44" fillId="0" borderId="0" xfId="1" applyNumberFormat="1" applyFont="1" applyFill="1" applyAlignment="1">
      <alignment horizontal="right" vertical="center"/>
    </xf>
    <xf numFmtId="38" fontId="45" fillId="0" borderId="0" xfId="1" applyFont="1" applyFill="1" applyAlignment="1">
      <alignment horizontal="right" vertical="center"/>
    </xf>
    <xf numFmtId="38" fontId="44" fillId="0" borderId="0" xfId="1" applyFont="1" applyFill="1" applyAlignment="1">
      <alignment horizontal="right" vertical="center"/>
    </xf>
    <xf numFmtId="0" fontId="44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8" xfId="0" applyFont="1" applyFill="1" applyBorder="1">
      <alignment vertical="center"/>
    </xf>
    <xf numFmtId="0" fontId="34" fillId="0" borderId="79" xfId="0" applyFont="1" applyFill="1" applyBorder="1">
      <alignment vertical="center"/>
    </xf>
    <xf numFmtId="0" fontId="11" fillId="0" borderId="50" xfId="0" applyFont="1" applyFill="1" applyBorder="1">
      <alignment vertical="center"/>
    </xf>
    <xf numFmtId="0" fontId="11" fillId="0" borderId="79" xfId="0" applyFont="1" applyFill="1" applyBorder="1">
      <alignment vertical="center"/>
    </xf>
    <xf numFmtId="49" fontId="11" fillId="0" borderId="77" xfId="0" applyNumberFormat="1" applyFont="1" applyFill="1" applyBorder="1">
      <alignment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38" fontId="21" fillId="0" borderId="2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38" fontId="28" fillId="0" borderId="3" xfId="1" applyFont="1" applyFill="1" applyBorder="1" applyAlignment="1">
      <alignment horizontal="center" vertical="center" wrapText="1"/>
    </xf>
    <xf numFmtId="40" fontId="20" fillId="0" borderId="0" xfId="1" applyNumberFormat="1" applyFont="1" applyFill="1" applyBorder="1">
      <alignment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0" fontId="20" fillId="0" borderId="19" xfId="1" applyNumberFormat="1" applyFont="1" applyFill="1" applyBorder="1">
      <alignment vertical="center"/>
    </xf>
    <xf numFmtId="40" fontId="20" fillId="0" borderId="18" xfId="1" applyNumberFormat="1" applyFont="1" applyFill="1" applyBorder="1">
      <alignment vertical="center"/>
    </xf>
    <xf numFmtId="38" fontId="30" fillId="0" borderId="0" xfId="1" applyFont="1" applyFill="1">
      <alignment vertical="center"/>
    </xf>
    <xf numFmtId="38" fontId="21" fillId="0" borderId="19" xfId="1" applyFont="1" applyFill="1" applyBorder="1">
      <alignment vertical="center"/>
    </xf>
    <xf numFmtId="38" fontId="21" fillId="0" borderId="3" xfId="1" applyNumberFormat="1" applyFont="1" applyFill="1" applyBorder="1" applyAlignment="1">
      <alignment horizontal="center" vertical="center" wrapText="1"/>
    </xf>
    <xf numFmtId="38" fontId="13" fillId="0" borderId="3" xfId="1" applyNumberFormat="1" applyFont="1" applyFill="1" applyBorder="1" applyAlignment="1">
      <alignment horizontal="center" vertical="center"/>
    </xf>
    <xf numFmtId="182" fontId="19" fillId="0" borderId="8" xfId="1" applyNumberFormat="1" applyFont="1" applyFill="1" applyBorder="1">
      <alignment vertical="center"/>
    </xf>
    <xf numFmtId="180" fontId="19" fillId="0" borderId="8" xfId="1" applyNumberFormat="1" applyFont="1" applyFill="1" applyBorder="1">
      <alignment vertical="center"/>
    </xf>
    <xf numFmtId="38" fontId="19" fillId="0" borderId="1" xfId="1" applyNumberFormat="1" applyFont="1" applyFill="1" applyBorder="1" applyAlignment="1">
      <alignment horizontal="center" vertical="center" wrapText="1"/>
    </xf>
    <xf numFmtId="38" fontId="53" fillId="0" borderId="0" xfId="1" applyFont="1" applyFill="1" applyAlignment="1">
      <alignment horizontal="right" vertical="center"/>
    </xf>
    <xf numFmtId="181" fontId="46" fillId="0" borderId="0" xfId="1" applyNumberFormat="1" applyFont="1" applyFill="1" applyAlignment="1">
      <alignment horizontal="right" vertical="center"/>
    </xf>
    <xf numFmtId="178" fontId="18" fillId="0" borderId="25" xfId="2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38" fontId="21" fillId="0" borderId="2" xfId="1" applyFont="1" applyFill="1" applyBorder="1" applyAlignment="1">
      <alignment horizontal="center" vertical="center" wrapText="1"/>
    </xf>
    <xf numFmtId="38" fontId="21" fillId="0" borderId="3" xfId="1" applyFont="1" applyFill="1" applyBorder="1" applyAlignment="1">
      <alignment horizontal="center" vertical="center" wrapText="1"/>
    </xf>
    <xf numFmtId="38" fontId="21" fillId="0" borderId="4" xfId="1" applyFont="1" applyFill="1" applyBorder="1" applyAlignment="1">
      <alignment horizontal="center" vertical="center" wrapText="1"/>
    </xf>
    <xf numFmtId="38" fontId="19" fillId="0" borderId="1" xfId="1" applyFont="1" applyFill="1" applyBorder="1" applyAlignment="1">
      <alignment horizontal="center" vertical="center"/>
    </xf>
    <xf numFmtId="38" fontId="21" fillId="0" borderId="1" xfId="1" applyFont="1" applyFill="1" applyBorder="1" applyAlignment="1">
      <alignment horizontal="center" vertical="center" wrapText="1"/>
    </xf>
    <xf numFmtId="38" fontId="21" fillId="0" borderId="0" xfId="1" applyFont="1" applyFill="1" applyAlignment="1">
      <alignment horizontal="left" vertical="center"/>
    </xf>
    <xf numFmtId="38" fontId="19" fillId="0" borderId="0" xfId="1" applyFont="1" applyFill="1" applyAlignment="1">
      <alignment horizontal="left" vertical="center"/>
    </xf>
    <xf numFmtId="38" fontId="19" fillId="0" borderId="2" xfId="1" applyFont="1" applyFill="1" applyBorder="1" applyAlignment="1">
      <alignment horizontal="center" vertical="center" wrapText="1"/>
    </xf>
    <xf numFmtId="38" fontId="19" fillId="0" borderId="1" xfId="1" applyFont="1" applyFill="1" applyBorder="1" applyAlignment="1">
      <alignment horizontal="center" vertical="center" wrapText="1"/>
    </xf>
    <xf numFmtId="38" fontId="21" fillId="0" borderId="3" xfId="1" applyFont="1" applyFill="1" applyBorder="1" applyAlignment="1">
      <alignment horizontal="center" vertical="center"/>
    </xf>
    <xf numFmtId="38" fontId="21" fillId="0" borderId="4" xfId="1" applyFont="1" applyFill="1" applyBorder="1" applyAlignment="1">
      <alignment horizontal="center" vertical="center"/>
    </xf>
    <xf numFmtId="38" fontId="21" fillId="0" borderId="1" xfId="1" applyFont="1" applyFill="1" applyBorder="1" applyAlignment="1">
      <alignment horizontal="center" vertical="center"/>
    </xf>
    <xf numFmtId="38" fontId="19" fillId="0" borderId="0" xfId="1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0" xfId="4" applyFont="1" applyFill="1" applyAlignment="1">
      <alignment horizontal="left" vertical="center"/>
    </xf>
    <xf numFmtId="0" fontId="21" fillId="0" borderId="4" xfId="4" applyFont="1" applyFill="1" applyBorder="1" applyAlignment="1">
      <alignment horizontal="center" vertical="center" wrapText="1"/>
    </xf>
    <xf numFmtId="0" fontId="21" fillId="0" borderId="14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38" fillId="0" borderId="0" xfId="2" applyFont="1" applyFill="1" applyAlignment="1">
      <alignment vertical="center"/>
    </xf>
    <xf numFmtId="0" fontId="32" fillId="0" borderId="0" xfId="2" applyFont="1" applyFill="1" applyAlignment="1">
      <alignment vertical="center"/>
    </xf>
    <xf numFmtId="0" fontId="33" fillId="0" borderId="0" xfId="2" applyFont="1" applyFill="1" applyAlignment="1">
      <alignment vertical="center"/>
    </xf>
    <xf numFmtId="0" fontId="51" fillId="0" borderId="0" xfId="2" applyFont="1" applyFill="1" applyAlignment="1">
      <alignment horizontal="right" vertical="center"/>
    </xf>
    <xf numFmtId="0" fontId="38" fillId="0" borderId="0" xfId="2" applyFont="1" applyFill="1">
      <alignment vertical="center"/>
    </xf>
    <xf numFmtId="41" fontId="16" fillId="0" borderId="25" xfId="2" applyNumberFormat="1" applyFont="1" applyFill="1" applyBorder="1" applyAlignment="1">
      <alignment vertical="center"/>
    </xf>
    <xf numFmtId="3" fontId="16" fillId="0" borderId="26" xfId="2" applyNumberFormat="1" applyFont="1" applyFill="1" applyBorder="1" applyAlignment="1">
      <alignment vertical="center"/>
    </xf>
    <xf numFmtId="41" fontId="16" fillId="0" borderId="58" xfId="2" applyNumberFormat="1" applyFont="1" applyFill="1" applyBorder="1" applyAlignment="1">
      <alignment vertical="center"/>
    </xf>
    <xf numFmtId="3" fontId="16" fillId="0" borderId="12" xfId="2" applyNumberFormat="1" applyFont="1" applyFill="1" applyBorder="1" applyAlignment="1">
      <alignment vertical="center"/>
    </xf>
    <xf numFmtId="41" fontId="16" fillId="0" borderId="23" xfId="2" applyNumberFormat="1" applyFont="1" applyFill="1" applyBorder="1" applyAlignment="1">
      <alignment vertical="center"/>
    </xf>
    <xf numFmtId="3" fontId="16" fillId="0" borderId="24" xfId="2" applyNumberFormat="1" applyFont="1" applyFill="1" applyBorder="1" applyAlignment="1">
      <alignment vertical="center"/>
    </xf>
    <xf numFmtId="38" fontId="16" fillId="0" borderId="26" xfId="2" applyNumberFormat="1" applyFont="1" applyFill="1" applyBorder="1" applyAlignment="1">
      <alignment vertical="center"/>
    </xf>
    <xf numFmtId="41" fontId="16" fillId="0" borderId="34" xfId="2" applyNumberFormat="1" applyFont="1" applyFill="1" applyBorder="1" applyAlignment="1">
      <alignment vertical="center"/>
    </xf>
    <xf numFmtId="38" fontId="16" fillId="0" borderId="36" xfId="2" applyNumberFormat="1" applyFont="1" applyFill="1" applyBorder="1" applyAlignment="1">
      <alignment vertical="center"/>
    </xf>
    <xf numFmtId="41" fontId="16" fillId="0" borderId="44" xfId="2" applyNumberFormat="1" applyFont="1" applyFill="1" applyBorder="1" applyAlignment="1">
      <alignment vertical="center"/>
    </xf>
    <xf numFmtId="38" fontId="16" fillId="0" borderId="45" xfId="2" applyNumberFormat="1" applyFont="1" applyFill="1" applyBorder="1" applyAlignment="1">
      <alignment vertical="center"/>
    </xf>
    <xf numFmtId="38" fontId="11" fillId="0" borderId="1" xfId="1" applyFont="1" applyFill="1" applyBorder="1">
      <alignment vertical="center"/>
    </xf>
    <xf numFmtId="38" fontId="11" fillId="0" borderId="2" xfId="1" applyFont="1" applyFill="1" applyBorder="1">
      <alignment vertical="center"/>
    </xf>
    <xf numFmtId="38" fontId="11" fillId="0" borderId="13" xfId="1" applyFont="1" applyFill="1" applyBorder="1">
      <alignment vertical="center"/>
    </xf>
    <xf numFmtId="38" fontId="11" fillId="0" borderId="6" xfId="1" applyFont="1" applyFill="1" applyBorder="1">
      <alignment vertical="center"/>
    </xf>
    <xf numFmtId="38" fontId="11" fillId="0" borderId="46" xfId="1" applyFont="1" applyFill="1" applyBorder="1">
      <alignment vertical="center"/>
    </xf>
    <xf numFmtId="38" fontId="11" fillId="0" borderId="14" xfId="1" applyFont="1" applyFill="1" applyBorder="1">
      <alignment vertical="center"/>
    </xf>
    <xf numFmtId="38" fontId="13" fillId="0" borderId="10" xfId="1" applyFont="1" applyFill="1" applyBorder="1" applyAlignment="1">
      <alignment vertical="center"/>
    </xf>
    <xf numFmtId="38" fontId="13" fillId="0" borderId="36" xfId="1" applyFont="1" applyFill="1" applyBorder="1" applyAlignment="1">
      <alignment vertical="center"/>
    </xf>
    <xf numFmtId="38" fontId="13" fillId="0" borderId="26" xfId="1" applyFont="1" applyFill="1" applyBorder="1" applyAlignment="1">
      <alignment vertical="center"/>
    </xf>
    <xf numFmtId="38" fontId="13" fillId="0" borderId="24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0" fontId="49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1" fillId="0" borderId="0" xfId="0" applyFont="1" applyFill="1" applyAlignment="1">
      <alignment vertical="center" wrapText="1"/>
    </xf>
    <xf numFmtId="38" fontId="48" fillId="0" borderId="0" xfId="1" applyFont="1" applyFill="1" applyAlignment="1">
      <alignment horizontal="right" vertical="center"/>
    </xf>
    <xf numFmtId="40" fontId="21" fillId="0" borderId="2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0" fontId="21" fillId="0" borderId="3" xfId="1" applyNumberFormat="1" applyFont="1" applyFill="1" applyBorder="1" applyAlignment="1">
      <alignment horizontal="center" vertical="center"/>
    </xf>
    <xf numFmtId="40" fontId="21" fillId="0" borderId="4" xfId="1" applyNumberFormat="1" applyFont="1" applyFill="1" applyBorder="1" applyAlignment="1">
      <alignment horizontal="center" vertical="center"/>
    </xf>
    <xf numFmtId="40" fontId="21" fillId="0" borderId="3" xfId="1" applyNumberFormat="1" applyFont="1" applyFill="1" applyBorder="1" applyAlignment="1">
      <alignment horizontal="center" vertical="center" wrapText="1"/>
    </xf>
    <xf numFmtId="38" fontId="21" fillId="0" borderId="35" xfId="1" applyFont="1" applyFill="1" applyBorder="1" applyAlignment="1">
      <alignment vertical="center"/>
    </xf>
    <xf numFmtId="40" fontId="21" fillId="0" borderId="18" xfId="1" applyNumberFormat="1" applyFont="1" applyFill="1" applyBorder="1">
      <alignment vertical="center"/>
    </xf>
    <xf numFmtId="38" fontId="21" fillId="0" borderId="10" xfId="1" applyFont="1" applyFill="1" applyBorder="1" applyAlignment="1">
      <alignment vertical="center"/>
    </xf>
    <xf numFmtId="38" fontId="21" fillId="0" borderId="26" xfId="1" applyFont="1" applyFill="1" applyBorder="1" applyAlignment="1">
      <alignment vertical="center"/>
    </xf>
    <xf numFmtId="40" fontId="21" fillId="0" borderId="19" xfId="1" applyNumberFormat="1" applyFont="1" applyFill="1" applyBorder="1">
      <alignment vertical="center"/>
    </xf>
    <xf numFmtId="38" fontId="21" fillId="0" borderId="12" xfId="1" applyFont="1" applyFill="1" applyBorder="1" applyAlignment="1">
      <alignment vertical="center"/>
    </xf>
    <xf numFmtId="38" fontId="21" fillId="0" borderId="24" xfId="1" applyFont="1" applyFill="1" applyBorder="1" applyAlignment="1">
      <alignment vertical="center"/>
    </xf>
    <xf numFmtId="38" fontId="21" fillId="0" borderId="36" xfId="1" applyFont="1" applyFill="1" applyBorder="1" applyAlignment="1">
      <alignment vertical="center"/>
    </xf>
    <xf numFmtId="38" fontId="21" fillId="0" borderId="48" xfId="1" applyFont="1" applyFill="1" applyBorder="1">
      <alignment vertical="center"/>
    </xf>
    <xf numFmtId="38" fontId="21" fillId="0" borderId="5" xfId="0" applyNumberFormat="1" applyFont="1" applyFill="1" applyBorder="1" applyAlignment="1">
      <alignment vertical="center"/>
    </xf>
    <xf numFmtId="0" fontId="21" fillId="0" borderId="15" xfId="0" applyFont="1" applyFill="1" applyBorder="1">
      <alignment vertical="center"/>
    </xf>
    <xf numFmtId="0" fontId="21" fillId="0" borderId="20" xfId="0" applyFont="1" applyFill="1" applyBorder="1">
      <alignment vertical="center"/>
    </xf>
    <xf numFmtId="0" fontId="21" fillId="0" borderId="20" xfId="0" applyFont="1" applyFill="1" applyBorder="1" applyAlignment="1">
      <alignment vertical="center" wrapText="1"/>
    </xf>
    <xf numFmtId="40" fontId="21" fillId="0" borderId="20" xfId="1" applyNumberFormat="1" applyFont="1" applyFill="1" applyBorder="1">
      <alignment vertical="center"/>
    </xf>
    <xf numFmtId="38" fontId="21" fillId="0" borderId="20" xfId="1" applyFont="1" applyFill="1" applyBorder="1">
      <alignment vertical="center"/>
    </xf>
    <xf numFmtId="0" fontId="21" fillId="0" borderId="13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 wrapText="1"/>
    </xf>
    <xf numFmtId="40" fontId="21" fillId="0" borderId="0" xfId="1" applyNumberFormat="1" applyFont="1" applyFill="1" applyBorder="1">
      <alignment vertical="center"/>
    </xf>
    <xf numFmtId="38" fontId="21" fillId="0" borderId="0" xfId="1" applyFont="1" applyFill="1" applyBorder="1">
      <alignment vertical="center"/>
    </xf>
    <xf numFmtId="0" fontId="21" fillId="0" borderId="46" xfId="0" applyFont="1" applyFill="1" applyBorder="1">
      <alignment vertical="center"/>
    </xf>
    <xf numFmtId="40" fontId="35" fillId="0" borderId="0" xfId="1" applyNumberFormat="1" applyFont="1" applyFill="1" applyBorder="1">
      <alignment vertical="center"/>
    </xf>
    <xf numFmtId="0" fontId="35" fillId="0" borderId="0" xfId="0" applyFont="1" applyFill="1" applyBorder="1">
      <alignment vertical="center"/>
    </xf>
    <xf numFmtId="38" fontId="35" fillId="0" borderId="0" xfId="1" applyFont="1" applyFill="1" applyBorder="1">
      <alignment vertical="center"/>
    </xf>
    <xf numFmtId="0" fontId="35" fillId="0" borderId="46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21" fillId="0" borderId="7" xfId="0" applyFont="1" applyFill="1" applyBorder="1">
      <alignment vertical="center"/>
    </xf>
    <xf numFmtId="0" fontId="21" fillId="0" borderId="17" xfId="0" applyFont="1" applyFill="1" applyBorder="1">
      <alignment vertical="center"/>
    </xf>
    <xf numFmtId="0" fontId="21" fillId="0" borderId="17" xfId="0" applyFont="1" applyFill="1" applyBorder="1" applyAlignment="1">
      <alignment vertical="center" wrapText="1"/>
    </xf>
    <xf numFmtId="40" fontId="21" fillId="0" borderId="17" xfId="1" applyNumberFormat="1" applyFont="1" applyFill="1" applyBorder="1">
      <alignment vertical="center"/>
    </xf>
    <xf numFmtId="38" fontId="21" fillId="0" borderId="17" xfId="1" applyFont="1" applyFill="1" applyBorder="1">
      <alignment vertical="center"/>
    </xf>
    <xf numFmtId="0" fontId="21" fillId="0" borderId="14" xfId="0" applyFont="1" applyFill="1" applyBorder="1">
      <alignment vertical="center"/>
    </xf>
    <xf numFmtId="40" fontId="21" fillId="2" borderId="18" xfId="1" applyNumberFormat="1" applyFont="1" applyFill="1" applyBorder="1">
      <alignment vertical="center"/>
    </xf>
    <xf numFmtId="40" fontId="21" fillId="2" borderId="19" xfId="1" applyNumberFormat="1" applyFont="1" applyFill="1" applyBorder="1">
      <alignment vertical="center"/>
    </xf>
    <xf numFmtId="40" fontId="21" fillId="2" borderId="48" xfId="1" applyNumberFormat="1" applyFont="1" applyFill="1" applyBorder="1">
      <alignment vertical="center"/>
    </xf>
    <xf numFmtId="38" fontId="22" fillId="0" borderId="0" xfId="1" applyFont="1" applyFill="1" applyAlignment="1">
      <alignment horizontal="right" vertical="center"/>
    </xf>
    <xf numFmtId="38" fontId="46" fillId="0" borderId="0" xfId="1" applyFont="1" applyFill="1" applyAlignment="1">
      <alignment horizontal="right" vertical="center"/>
    </xf>
    <xf numFmtId="0" fontId="2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40" fontId="20" fillId="0" borderId="2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0" fontId="20" fillId="0" borderId="1" xfId="1" applyNumberFormat="1" applyFont="1" applyFill="1" applyBorder="1" applyAlignment="1">
      <alignment horizontal="center" vertical="center"/>
    </xf>
    <xf numFmtId="38" fontId="20" fillId="0" borderId="1" xfId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38" fontId="28" fillId="0" borderId="3" xfId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38" fontId="20" fillId="0" borderId="10" xfId="1" applyFont="1" applyFill="1" applyBorder="1" applyAlignment="1">
      <alignment vertical="center"/>
    </xf>
    <xf numFmtId="38" fontId="20" fillId="0" borderId="18" xfId="1" applyFont="1" applyFill="1" applyBorder="1">
      <alignment vertical="center"/>
    </xf>
    <xf numFmtId="38" fontId="20" fillId="0" borderId="12" xfId="1" applyFont="1" applyFill="1" applyBorder="1" applyAlignment="1">
      <alignment vertical="center"/>
    </xf>
    <xf numFmtId="38" fontId="20" fillId="0" borderId="19" xfId="1" applyFont="1" applyFill="1" applyBorder="1">
      <alignment vertical="center"/>
    </xf>
    <xf numFmtId="38" fontId="36" fillId="0" borderId="0" xfId="1" applyFont="1" applyFill="1">
      <alignment vertical="center"/>
    </xf>
    <xf numFmtId="0" fontId="36" fillId="0" borderId="0" xfId="0" applyFont="1" applyFill="1">
      <alignment vertical="center"/>
    </xf>
    <xf numFmtId="0" fontId="3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38" fillId="0" borderId="0" xfId="0" applyFont="1" applyFill="1">
      <alignment vertical="center"/>
    </xf>
    <xf numFmtId="38" fontId="38" fillId="0" borderId="0" xfId="1" applyFont="1" applyFill="1">
      <alignment vertical="center"/>
    </xf>
    <xf numFmtId="40" fontId="38" fillId="0" borderId="0" xfId="1" applyNumberFormat="1" applyFont="1" applyFill="1">
      <alignment vertical="center"/>
    </xf>
    <xf numFmtId="0" fontId="3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38" fontId="27" fillId="0" borderId="0" xfId="1" applyFont="1" applyFill="1" applyAlignment="1">
      <alignment horizontal="right" vertical="center"/>
    </xf>
    <xf numFmtId="38" fontId="21" fillId="0" borderId="1" xfId="0" applyNumberFormat="1" applyFont="1" applyFill="1" applyBorder="1" applyAlignment="1">
      <alignment vertical="center" wrapText="1"/>
    </xf>
    <xf numFmtId="38" fontId="22" fillId="0" borderId="1" xfId="1" applyFont="1" applyFill="1" applyBorder="1" applyAlignment="1">
      <alignment vertical="center"/>
    </xf>
    <xf numFmtId="38" fontId="22" fillId="0" borderId="4" xfId="1" applyFont="1" applyFill="1" applyBorder="1">
      <alignment vertical="center"/>
    </xf>
    <xf numFmtId="38" fontId="19" fillId="0" borderId="1" xfId="0" applyNumberFormat="1" applyFont="1" applyFill="1" applyBorder="1" applyAlignment="1">
      <alignment vertical="center" wrapText="1"/>
    </xf>
    <xf numFmtId="38" fontId="21" fillId="0" borderId="0" xfId="1" applyFont="1" applyFill="1" applyAlignment="1">
      <alignment horizontal="center" vertical="center" wrapText="1"/>
    </xf>
    <xf numFmtId="179" fontId="21" fillId="0" borderId="18" xfId="1" applyNumberFormat="1" applyFont="1" applyFill="1" applyBorder="1">
      <alignment vertical="center"/>
    </xf>
    <xf numFmtId="179" fontId="21" fillId="0" borderId="4" xfId="1" applyNumberFormat="1" applyFont="1" applyFill="1" applyBorder="1">
      <alignment vertical="center"/>
    </xf>
    <xf numFmtId="38" fontId="22" fillId="0" borderId="3" xfId="1" applyFont="1" applyFill="1" applyBorder="1">
      <alignment vertical="center"/>
    </xf>
    <xf numFmtId="38" fontId="21" fillId="2" borderId="18" xfId="1" applyFont="1" applyFill="1" applyBorder="1">
      <alignment vertical="center"/>
    </xf>
    <xf numFmtId="179" fontId="21" fillId="2" borderId="18" xfId="1" applyNumberFormat="1" applyFont="1" applyFill="1" applyBorder="1">
      <alignment vertical="center"/>
    </xf>
    <xf numFmtId="38" fontId="21" fillId="2" borderId="4" xfId="1" applyFont="1" applyFill="1" applyBorder="1">
      <alignment vertical="center"/>
    </xf>
    <xf numFmtId="179" fontId="21" fillId="2" borderId="4" xfId="1" applyNumberFormat="1" applyFont="1" applyFill="1" applyBorder="1">
      <alignment vertical="center"/>
    </xf>
    <xf numFmtId="40" fontId="21" fillId="2" borderId="4" xfId="1" applyNumberFormat="1" applyFont="1" applyFill="1" applyBorder="1">
      <alignment vertical="center"/>
    </xf>
    <xf numFmtId="181" fontId="21" fillId="2" borderId="18" xfId="1" applyNumberFormat="1" applyFont="1" applyFill="1" applyBorder="1">
      <alignment vertical="center"/>
    </xf>
    <xf numFmtId="38" fontId="21" fillId="2" borderId="18" xfId="1" applyNumberFormat="1" applyFont="1" applyFill="1" applyBorder="1">
      <alignment vertical="center"/>
    </xf>
    <xf numFmtId="181" fontId="21" fillId="2" borderId="4" xfId="1" applyNumberFormat="1" applyFont="1" applyFill="1" applyBorder="1">
      <alignment vertical="center"/>
    </xf>
    <xf numFmtId="38" fontId="21" fillId="2" borderId="4" xfId="1" applyNumberFormat="1" applyFont="1" applyFill="1" applyBorder="1">
      <alignment vertical="center"/>
    </xf>
    <xf numFmtId="38" fontId="21" fillId="0" borderId="2" xfId="1" applyFont="1" applyFill="1" applyBorder="1">
      <alignment vertical="center"/>
    </xf>
    <xf numFmtId="38" fontId="22" fillId="0" borderId="1" xfId="1" applyFont="1" applyFill="1" applyBorder="1">
      <alignment vertical="center"/>
    </xf>
    <xf numFmtId="38" fontId="21" fillId="0" borderId="1" xfId="1" applyFont="1" applyFill="1" applyBorder="1">
      <alignment vertical="center"/>
    </xf>
    <xf numFmtId="183" fontId="21" fillId="0" borderId="0" xfId="1" applyNumberFormat="1" applyFont="1" applyFill="1" applyAlignment="1">
      <alignment horizontal="center" vertical="center"/>
    </xf>
    <xf numFmtId="38" fontId="22" fillId="0" borderId="0" xfId="1" applyFont="1" applyFill="1">
      <alignment vertical="center"/>
    </xf>
    <xf numFmtId="38" fontId="19" fillId="0" borderId="1" xfId="1" applyFont="1" applyFill="1" applyBorder="1" applyAlignment="1">
      <alignment vertical="center"/>
    </xf>
    <xf numFmtId="38" fontId="19" fillId="0" borderId="18" xfId="1" applyFont="1" applyFill="1" applyBorder="1">
      <alignment vertical="center"/>
    </xf>
    <xf numFmtId="38" fontId="19" fillId="0" borderId="1" xfId="1" applyFont="1" applyFill="1" applyBorder="1">
      <alignment vertical="center"/>
    </xf>
    <xf numFmtId="38" fontId="19" fillId="2" borderId="18" xfId="1" applyFont="1" applyFill="1" applyBorder="1">
      <alignment vertical="center"/>
    </xf>
    <xf numFmtId="38" fontId="19" fillId="2" borderId="18" xfId="1" applyNumberFormat="1" applyFont="1" applyFill="1" applyBorder="1">
      <alignment vertical="center"/>
    </xf>
    <xf numFmtId="38" fontId="19" fillId="2" borderId="1" xfId="1" applyFont="1" applyFill="1" applyBorder="1">
      <alignment vertical="center"/>
    </xf>
    <xf numFmtId="38" fontId="19" fillId="2" borderId="1" xfId="1" applyNumberFormat="1" applyFont="1" applyFill="1" applyBorder="1">
      <alignment vertical="center"/>
    </xf>
    <xf numFmtId="183" fontId="21" fillId="0" borderId="8" xfId="1" applyNumberFormat="1" applyFont="1" applyFill="1" applyBorder="1">
      <alignment vertical="center"/>
    </xf>
    <xf numFmtId="38" fontId="21" fillId="2" borderId="1" xfId="1" applyNumberFormat="1" applyFont="1" applyFill="1" applyBorder="1">
      <alignment vertical="center"/>
    </xf>
    <xf numFmtId="0" fontId="46" fillId="0" borderId="0" xfId="0" applyFont="1" applyFill="1" applyAlignment="1">
      <alignment horizontal="right" vertical="center"/>
    </xf>
    <xf numFmtId="180" fontId="21" fillId="0" borderId="18" xfId="1" applyNumberFormat="1" applyFont="1" applyFill="1" applyBorder="1">
      <alignment vertical="center"/>
    </xf>
    <xf numFmtId="180" fontId="21" fillId="0" borderId="19" xfId="1" applyNumberFormat="1" applyFont="1" applyFill="1" applyBorder="1">
      <alignment vertical="center"/>
    </xf>
    <xf numFmtId="180" fontId="21" fillId="0" borderId="3" xfId="1" applyNumberFormat="1" applyFont="1" applyFill="1" applyBorder="1">
      <alignment vertical="center"/>
    </xf>
    <xf numFmtId="38" fontId="21" fillId="0" borderId="3" xfId="1" applyFont="1" applyFill="1" applyBorder="1">
      <alignment vertical="center"/>
    </xf>
    <xf numFmtId="38" fontId="21" fillId="0" borderId="47" xfId="1" applyFont="1" applyFill="1" applyBorder="1">
      <alignment vertical="center"/>
    </xf>
    <xf numFmtId="38" fontId="21" fillId="0" borderId="81" xfId="1" applyFont="1" applyFill="1" applyBorder="1" applyAlignment="1">
      <alignment vertical="center"/>
    </xf>
    <xf numFmtId="180" fontId="20" fillId="0" borderId="18" xfId="1" applyNumberFormat="1" applyFont="1" applyFill="1" applyBorder="1">
      <alignment vertical="center"/>
    </xf>
    <xf numFmtId="180" fontId="20" fillId="0" borderId="19" xfId="1" applyNumberFormat="1" applyFont="1" applyFill="1" applyBorder="1">
      <alignment vertical="center"/>
    </xf>
    <xf numFmtId="38" fontId="21" fillId="0" borderId="66" xfId="1" applyFont="1" applyFill="1" applyBorder="1">
      <alignment vertical="center"/>
    </xf>
    <xf numFmtId="38" fontId="21" fillId="0" borderId="61" xfId="1" applyFont="1" applyFill="1" applyBorder="1">
      <alignment vertical="center"/>
    </xf>
    <xf numFmtId="0" fontId="19" fillId="0" borderId="0" xfId="0" applyFont="1" applyFill="1" applyAlignment="1">
      <alignment horizontal="left" vertical="center"/>
    </xf>
    <xf numFmtId="38" fontId="21" fillId="0" borderId="82" xfId="1" applyFont="1" applyFill="1" applyBorder="1" applyAlignment="1">
      <alignment vertical="center"/>
    </xf>
    <xf numFmtId="38" fontId="19" fillId="0" borderId="2" xfId="0" applyNumberFormat="1" applyFont="1" applyFill="1" applyBorder="1" applyAlignment="1">
      <alignment vertical="center" wrapText="1"/>
    </xf>
    <xf numFmtId="38" fontId="19" fillId="0" borderId="2" xfId="1" applyFont="1" applyFill="1" applyBorder="1" applyAlignment="1">
      <alignment vertical="center"/>
    </xf>
    <xf numFmtId="40" fontId="19" fillId="0" borderId="2" xfId="1" applyNumberFormat="1" applyFont="1" applyFill="1" applyBorder="1" applyAlignment="1">
      <alignment vertical="center"/>
    </xf>
    <xf numFmtId="182" fontId="19" fillId="0" borderId="18" xfId="1" applyNumberFormat="1" applyFont="1" applyFill="1" applyBorder="1">
      <alignment vertical="center"/>
    </xf>
    <xf numFmtId="38" fontId="19" fillId="0" borderId="18" xfId="1" applyNumberFormat="1" applyFont="1" applyFill="1" applyBorder="1" applyAlignment="1">
      <alignment vertical="center"/>
    </xf>
    <xf numFmtId="38" fontId="19" fillId="0" borderId="1" xfId="1" applyNumberFormat="1" applyFont="1" applyFill="1" applyBorder="1" applyAlignment="1">
      <alignment vertical="center"/>
    </xf>
    <xf numFmtId="38" fontId="22" fillId="0" borderId="3" xfId="1" applyNumberFormat="1" applyFont="1" applyFill="1" applyBorder="1" applyAlignment="1">
      <alignment vertical="center"/>
    </xf>
    <xf numFmtId="38" fontId="22" fillId="0" borderId="4" xfId="1" applyNumberFormat="1" applyFont="1" applyFill="1" applyBorder="1" applyAlignment="1">
      <alignment vertical="center"/>
    </xf>
    <xf numFmtId="38" fontId="19" fillId="0" borderId="18" xfId="1" applyFont="1" applyFill="1" applyBorder="1" applyAlignment="1">
      <alignment vertical="center"/>
    </xf>
    <xf numFmtId="38" fontId="22" fillId="0" borderId="3" xfId="1" applyFont="1" applyFill="1" applyBorder="1" applyAlignment="1">
      <alignment vertical="center"/>
    </xf>
    <xf numFmtId="38" fontId="22" fillId="0" borderId="4" xfId="1" applyFont="1" applyFill="1" applyBorder="1" applyAlignment="1">
      <alignment vertical="center"/>
    </xf>
    <xf numFmtId="38" fontId="19" fillId="2" borderId="2" xfId="1" applyNumberFormat="1" applyFont="1" applyFill="1" applyBorder="1" applyAlignment="1">
      <alignment vertical="center"/>
    </xf>
    <xf numFmtId="40" fontId="19" fillId="2" borderId="2" xfId="1" applyNumberFormat="1" applyFont="1" applyFill="1" applyBorder="1" applyAlignment="1">
      <alignment vertical="center"/>
    </xf>
    <xf numFmtId="181" fontId="19" fillId="2" borderId="18" xfId="1" applyNumberFormat="1" applyFont="1" applyFill="1" applyBorder="1">
      <alignment vertical="center"/>
    </xf>
    <xf numFmtId="38" fontId="21" fillId="0" borderId="2" xfId="0" applyNumberFormat="1" applyFont="1" applyFill="1" applyBorder="1" applyAlignment="1">
      <alignment vertical="center" wrapText="1"/>
    </xf>
    <xf numFmtId="38" fontId="21" fillId="0" borderId="2" xfId="1" applyFont="1" applyFill="1" applyBorder="1" applyAlignment="1">
      <alignment vertical="center"/>
    </xf>
    <xf numFmtId="182" fontId="21" fillId="0" borderId="18" xfId="1" applyNumberFormat="1" applyFont="1" applyFill="1" applyBorder="1">
      <alignment vertical="center"/>
    </xf>
    <xf numFmtId="38" fontId="21" fillId="0" borderId="18" xfId="1" applyNumberFormat="1" applyFont="1" applyFill="1" applyBorder="1" applyAlignment="1">
      <alignment vertical="center"/>
    </xf>
    <xf numFmtId="38" fontId="21" fillId="0" borderId="1" xfId="1" applyNumberFormat="1" applyFont="1" applyFill="1" applyBorder="1" applyAlignment="1">
      <alignment vertical="center"/>
    </xf>
    <xf numFmtId="38" fontId="21" fillId="2" borderId="2" xfId="1" applyNumberFormat="1" applyFont="1" applyFill="1" applyBorder="1" applyAlignment="1">
      <alignment vertical="center"/>
    </xf>
    <xf numFmtId="38" fontId="21" fillId="2" borderId="18" xfId="1" applyFont="1" applyFill="1" applyBorder="1" applyAlignment="1">
      <alignment vertical="center"/>
    </xf>
    <xf numFmtId="38" fontId="21" fillId="2" borderId="1" xfId="1" applyFont="1" applyFill="1" applyBorder="1" applyAlignment="1">
      <alignment vertical="center"/>
    </xf>
    <xf numFmtId="38" fontId="21" fillId="0" borderId="47" xfId="1" applyFont="1" applyFill="1" applyBorder="1" applyAlignment="1">
      <alignment vertical="center"/>
    </xf>
    <xf numFmtId="38" fontId="21" fillId="0" borderId="19" xfId="1" applyFont="1" applyFill="1" applyBorder="1" applyAlignment="1">
      <alignment vertical="center"/>
    </xf>
    <xf numFmtId="38" fontId="21" fillId="0" borderId="65" xfId="1" applyFont="1" applyFill="1" applyBorder="1" applyAlignment="1">
      <alignment vertical="center"/>
    </xf>
    <xf numFmtId="38" fontId="21" fillId="0" borderId="14" xfId="1" applyFont="1" applyFill="1" applyBorder="1" applyAlignment="1">
      <alignment vertical="center"/>
    </xf>
    <xf numFmtId="38" fontId="21" fillId="2" borderId="4" xfId="1" applyFont="1" applyFill="1" applyBorder="1" applyAlignment="1">
      <alignment vertical="center"/>
    </xf>
    <xf numFmtId="38" fontId="21" fillId="2" borderId="47" xfId="1" applyFont="1" applyFill="1" applyBorder="1">
      <alignment vertical="center"/>
    </xf>
    <xf numFmtId="40" fontId="21" fillId="2" borderId="47" xfId="1" applyNumberFormat="1" applyFont="1" applyFill="1" applyBorder="1">
      <alignment vertical="center"/>
    </xf>
    <xf numFmtId="38" fontId="21" fillId="2" borderId="47" xfId="1" applyNumberFormat="1" applyFont="1" applyFill="1" applyBorder="1">
      <alignment vertical="center"/>
    </xf>
    <xf numFmtId="38" fontId="21" fillId="2" borderId="2" xfId="1" applyNumberFormat="1" applyFont="1" applyFill="1" applyBorder="1">
      <alignment vertical="center"/>
    </xf>
    <xf numFmtId="40" fontId="21" fillId="2" borderId="2" xfId="1" applyNumberFormat="1" applyFont="1" applyFill="1" applyBorder="1">
      <alignment vertical="center"/>
    </xf>
    <xf numFmtId="38" fontId="21" fillId="2" borderId="65" xfId="1" applyNumberFormat="1" applyFont="1" applyFill="1" applyBorder="1">
      <alignment vertical="center"/>
    </xf>
    <xf numFmtId="40" fontId="21" fillId="2" borderId="65" xfId="1" applyNumberFormat="1" applyFont="1" applyFill="1" applyBorder="1">
      <alignment vertical="center"/>
    </xf>
    <xf numFmtId="38" fontId="21" fillId="2" borderId="60" xfId="1" applyFont="1" applyFill="1" applyBorder="1" applyAlignment="1">
      <alignment vertical="center"/>
    </xf>
    <xf numFmtId="38" fontId="21" fillId="2" borderId="14" xfId="1" applyFont="1" applyFill="1" applyBorder="1" applyAlignment="1">
      <alignment vertical="center"/>
    </xf>
    <xf numFmtId="38" fontId="21" fillId="2" borderId="0" xfId="1" applyNumberFormat="1" applyFont="1" applyFill="1" applyBorder="1">
      <alignment vertical="center"/>
    </xf>
    <xf numFmtId="38" fontId="44" fillId="0" borderId="0" xfId="5" applyFont="1" applyFill="1" applyAlignment="1">
      <alignment horizontal="right" vertical="center"/>
    </xf>
    <xf numFmtId="0" fontId="21" fillId="0" borderId="0" xfId="4" applyFont="1" applyFill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38" fontId="21" fillId="0" borderId="64" xfId="5" applyFont="1" applyFill="1" applyBorder="1">
      <alignment vertical="center"/>
    </xf>
    <xf numFmtId="0" fontId="21" fillId="2" borderId="1" xfId="4" applyFont="1" applyFill="1" applyBorder="1">
      <alignment vertical="center"/>
    </xf>
    <xf numFmtId="38" fontId="21" fillId="2" borderId="1" xfId="5" applyNumberFormat="1" applyFont="1" applyFill="1" applyBorder="1">
      <alignment vertical="center"/>
    </xf>
    <xf numFmtId="38" fontId="21" fillId="2" borderId="5" xfId="5" applyFont="1" applyFill="1" applyBorder="1">
      <alignment vertical="center"/>
    </xf>
    <xf numFmtId="38" fontId="21" fillId="2" borderId="59" xfId="5" applyFont="1" applyFill="1" applyBorder="1">
      <alignment vertical="center"/>
    </xf>
    <xf numFmtId="38" fontId="21" fillId="2" borderId="6" xfId="5" applyFont="1" applyFill="1" applyBorder="1">
      <alignment vertical="center"/>
    </xf>
    <xf numFmtId="38" fontId="21" fillId="2" borderId="7" xfId="5" applyFont="1" applyFill="1" applyBorder="1">
      <alignment vertical="center"/>
    </xf>
    <xf numFmtId="0" fontId="21" fillId="2" borderId="6" xfId="4" applyFont="1" applyFill="1" applyBorder="1">
      <alignment vertical="center"/>
    </xf>
    <xf numFmtId="40" fontId="21" fillId="2" borderId="1" xfId="5" applyNumberFormat="1" applyFont="1" applyFill="1" applyBorder="1">
      <alignment vertical="center"/>
    </xf>
    <xf numFmtId="38" fontId="21" fillId="2" borderId="14" xfId="1" applyFont="1" applyFill="1" applyBorder="1">
      <alignment vertical="center"/>
    </xf>
    <xf numFmtId="40" fontId="21" fillId="2" borderId="4" xfId="5" applyNumberFormat="1" applyFont="1" applyFill="1" applyBorder="1">
      <alignment vertical="center"/>
    </xf>
    <xf numFmtId="38" fontId="21" fillId="2" borderId="54" xfId="5" applyFont="1" applyFill="1" applyBorder="1">
      <alignment vertical="center"/>
    </xf>
    <xf numFmtId="38" fontId="21" fillId="2" borderId="14" xfId="5" applyFont="1" applyFill="1" applyBorder="1">
      <alignment vertical="center"/>
    </xf>
    <xf numFmtId="38" fontId="21" fillId="0" borderId="83" xfId="5" applyFont="1" applyFill="1" applyBorder="1">
      <alignment vertical="center"/>
    </xf>
    <xf numFmtId="0" fontId="14" fillId="0" borderId="41" xfId="2" applyFont="1" applyFill="1" applyBorder="1" applyAlignment="1">
      <alignment horizontal="distributed" vertical="center" indent="10"/>
    </xf>
    <xf numFmtId="0" fontId="14" fillId="0" borderId="42" xfId="2" applyFont="1" applyFill="1" applyBorder="1" applyAlignment="1">
      <alignment horizontal="distributed" vertical="center" indent="10"/>
    </xf>
    <xf numFmtId="0" fontId="14" fillId="0" borderId="43" xfId="2" applyFont="1" applyFill="1" applyBorder="1" applyAlignment="1">
      <alignment horizontal="distributed" vertical="center" indent="10"/>
    </xf>
    <xf numFmtId="178" fontId="18" fillId="0" borderId="25" xfId="2" applyNumberFormat="1" applyFont="1" applyFill="1" applyBorder="1" applyAlignment="1">
      <alignment horizontal="left" vertical="center" wrapText="1"/>
    </xf>
    <xf numFmtId="3" fontId="16" fillId="0" borderId="35" xfId="2" applyNumberFormat="1" applyFont="1" applyFill="1" applyBorder="1" applyAlignment="1">
      <alignment vertical="center"/>
    </xf>
    <xf numFmtId="3" fontId="16" fillId="0" borderId="24" xfId="2" applyNumberFormat="1" applyFont="1" applyFill="1" applyBorder="1" applyAlignment="1">
      <alignment vertical="center"/>
    </xf>
    <xf numFmtId="178" fontId="18" fillId="0" borderId="31" xfId="2" applyNumberFormat="1" applyFont="1" applyFill="1" applyBorder="1" applyAlignment="1">
      <alignment horizontal="center" vertical="center"/>
    </xf>
    <xf numFmtId="178" fontId="18" fillId="0" borderId="40" xfId="2" applyNumberFormat="1" applyFont="1" applyFill="1" applyBorder="1" applyAlignment="1">
      <alignment horizontal="center" vertical="center"/>
    </xf>
    <xf numFmtId="178" fontId="18" fillId="0" borderId="30" xfId="2" applyNumberFormat="1" applyFont="1" applyFill="1" applyBorder="1" applyAlignment="1">
      <alignment horizontal="center" vertical="center"/>
    </xf>
    <xf numFmtId="176" fontId="18" fillId="0" borderId="55" xfId="2" applyNumberFormat="1" applyFont="1" applyFill="1" applyBorder="1" applyAlignment="1">
      <alignment horizontal="left" vertical="center"/>
    </xf>
    <xf numFmtId="176" fontId="18" fillId="0" borderId="56" xfId="2" applyNumberFormat="1" applyFont="1" applyFill="1" applyBorder="1" applyAlignment="1">
      <alignment horizontal="left" vertical="center"/>
    </xf>
    <xf numFmtId="176" fontId="18" fillId="0" borderId="57" xfId="2" applyNumberFormat="1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center" vertical="center" textRotation="255"/>
    </xf>
    <xf numFmtId="41" fontId="16" fillId="0" borderId="33" xfId="2" applyNumberFormat="1" applyFont="1" applyFill="1" applyBorder="1" applyAlignment="1">
      <alignment vertical="center"/>
    </xf>
    <xf numFmtId="41" fontId="16" fillId="0" borderId="23" xfId="2" applyNumberFormat="1" applyFont="1" applyFill="1" applyBorder="1" applyAlignment="1">
      <alignment vertical="center"/>
    </xf>
    <xf numFmtId="176" fontId="18" fillId="0" borderId="25" xfId="2" applyNumberFormat="1" applyFont="1" applyFill="1" applyBorder="1" applyAlignment="1">
      <alignment horizontal="left" vertical="center" wrapText="1"/>
    </xf>
    <xf numFmtId="178" fontId="18" fillId="0" borderId="23" xfId="2" applyNumberFormat="1" applyFont="1" applyFill="1" applyBorder="1" applyAlignment="1">
      <alignment horizontal="left" vertical="center" wrapText="1"/>
    </xf>
    <xf numFmtId="176" fontId="18" fillId="0" borderId="23" xfId="2" applyNumberFormat="1" applyFont="1" applyFill="1" applyBorder="1" applyAlignment="1">
      <alignment vertical="center" wrapText="1"/>
    </xf>
    <xf numFmtId="176" fontId="18" fillId="0" borderId="25" xfId="2" applyNumberFormat="1" applyFont="1" applyFill="1" applyBorder="1" applyAlignment="1">
      <alignment vertical="center" wrapText="1"/>
    </xf>
    <xf numFmtId="0" fontId="14" fillId="0" borderId="5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 textRotation="255"/>
    </xf>
    <xf numFmtId="0" fontId="14" fillId="0" borderId="54" xfId="2" applyFont="1" applyFill="1" applyBorder="1" applyAlignment="1">
      <alignment horizontal="center" vertical="center" textRotation="255"/>
    </xf>
    <xf numFmtId="176" fontId="18" fillId="0" borderId="33" xfId="2" applyNumberFormat="1" applyFont="1" applyFill="1" applyBorder="1" applyAlignment="1">
      <alignment horizontal="center" vertical="center"/>
    </xf>
    <xf numFmtId="176" fontId="18" fillId="0" borderId="23" xfId="2" applyNumberFormat="1" applyFont="1" applyFill="1" applyBorder="1" applyAlignment="1">
      <alignment horizontal="center" vertical="center"/>
    </xf>
    <xf numFmtId="178" fontId="18" fillId="0" borderId="37" xfId="2" applyNumberFormat="1" applyFont="1" applyFill="1" applyBorder="1" applyAlignment="1">
      <alignment horizontal="center" vertical="center"/>
    </xf>
    <xf numFmtId="178" fontId="18" fillId="0" borderId="38" xfId="2" applyNumberFormat="1" applyFont="1" applyFill="1" applyBorder="1" applyAlignment="1">
      <alignment horizontal="center" vertical="center"/>
    </xf>
    <xf numFmtId="178" fontId="18" fillId="0" borderId="39" xfId="2" applyNumberFormat="1" applyFont="1" applyFill="1" applyBorder="1" applyAlignment="1">
      <alignment horizontal="center" vertical="center"/>
    </xf>
    <xf numFmtId="178" fontId="18" fillId="0" borderId="31" xfId="2" applyNumberFormat="1" applyFont="1" applyFill="1" applyBorder="1" applyAlignment="1">
      <alignment horizontal="left" vertical="center" wrapText="1"/>
    </xf>
    <xf numFmtId="178" fontId="18" fillId="0" borderId="30" xfId="2" applyNumberFormat="1" applyFont="1" applyFill="1" applyBorder="1" applyAlignment="1">
      <alignment horizontal="left" vertical="center" wrapText="1"/>
    </xf>
    <xf numFmtId="0" fontId="47" fillId="0" borderId="0" xfId="0" applyFont="1" applyAlignment="1">
      <alignment horizontal="right" vertical="center"/>
    </xf>
    <xf numFmtId="49" fontId="11" fillId="0" borderId="0" xfId="0" applyNumberFormat="1" applyFont="1" applyFill="1" applyAlignment="1">
      <alignment horizontal="left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38" xfId="0" applyNumberFormat="1" applyFont="1" applyFill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/>
    </xf>
    <xf numFmtId="49" fontId="11" fillId="0" borderId="76" xfId="0" applyNumberFormat="1" applyFont="1" applyFill="1" applyBorder="1" applyAlignment="1">
      <alignment horizontal="center" vertical="center"/>
    </xf>
    <xf numFmtId="49" fontId="11" fillId="0" borderId="3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74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right" vertical="center"/>
    </xf>
    <xf numFmtId="0" fontId="13" fillId="0" borderId="48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38" fontId="13" fillId="0" borderId="48" xfId="0" applyNumberFormat="1" applyFont="1" applyFill="1" applyBorder="1" applyAlignment="1">
      <alignment vertical="center"/>
    </xf>
    <xf numFmtId="38" fontId="13" fillId="0" borderId="47" xfId="0" applyNumberFormat="1" applyFont="1" applyFill="1" applyBorder="1" applyAlignment="1">
      <alignment vertical="center"/>
    </xf>
    <xf numFmtId="38" fontId="13" fillId="2" borderId="48" xfId="1" applyFont="1" applyFill="1" applyBorder="1" applyAlignment="1">
      <alignment vertical="center"/>
    </xf>
    <xf numFmtId="38" fontId="13" fillId="2" borderId="47" xfId="1" applyFont="1" applyFill="1" applyBorder="1" applyAlignment="1">
      <alignment vertical="center"/>
    </xf>
    <xf numFmtId="177" fontId="13" fillId="2" borderId="48" xfId="0" applyNumberFormat="1" applyFont="1" applyFill="1" applyBorder="1" applyAlignment="1">
      <alignment vertical="center"/>
    </xf>
    <xf numFmtId="177" fontId="13" fillId="2" borderId="47" xfId="0" applyNumberFormat="1" applyFont="1" applyFill="1" applyBorder="1" applyAlignment="1">
      <alignment vertical="center"/>
    </xf>
    <xf numFmtId="38" fontId="13" fillId="0" borderId="2" xfId="0" applyNumberFormat="1" applyFont="1" applyFill="1" applyBorder="1" applyAlignment="1">
      <alignment vertical="center"/>
    </xf>
    <xf numFmtId="38" fontId="13" fillId="0" borderId="3" xfId="0" applyNumberFormat="1" applyFont="1" applyFill="1" applyBorder="1" applyAlignment="1">
      <alignment vertical="center"/>
    </xf>
    <xf numFmtId="38" fontId="13" fillId="0" borderId="4" xfId="0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9" fontId="13" fillId="2" borderId="2" xfId="1" applyNumberFormat="1" applyFont="1" applyFill="1" applyBorder="1" applyAlignment="1">
      <alignment vertical="center"/>
    </xf>
    <xf numFmtId="179" fontId="13" fillId="2" borderId="3" xfId="1" applyNumberFormat="1" applyFont="1" applyFill="1" applyBorder="1" applyAlignment="1">
      <alignment vertical="center"/>
    </xf>
    <xf numFmtId="38" fontId="13" fillId="2" borderId="2" xfId="1" applyFont="1" applyFill="1" applyBorder="1" applyAlignment="1">
      <alignment vertical="center"/>
    </xf>
    <xf numFmtId="38" fontId="13" fillId="2" borderId="3" xfId="1" applyFont="1" applyFill="1" applyBorder="1" applyAlignment="1">
      <alignment vertical="center"/>
    </xf>
    <xf numFmtId="179" fontId="13" fillId="2" borderId="48" xfId="1" applyNumberFormat="1" applyFont="1" applyFill="1" applyBorder="1" applyAlignment="1">
      <alignment vertical="center"/>
    </xf>
    <xf numFmtId="179" fontId="13" fillId="2" borderId="47" xfId="1" applyNumberFormat="1" applyFont="1" applyFill="1" applyBorder="1" applyAlignment="1">
      <alignment vertical="center"/>
    </xf>
    <xf numFmtId="38" fontId="13" fillId="2" borderId="4" xfId="1" applyFont="1" applyFill="1" applyBorder="1" applyAlignment="1">
      <alignment vertical="center"/>
    </xf>
    <xf numFmtId="179" fontId="13" fillId="2" borderId="4" xfId="1" applyNumberFormat="1" applyFont="1" applyFill="1" applyBorder="1" applyAlignment="1">
      <alignment vertical="center"/>
    </xf>
    <xf numFmtId="177" fontId="13" fillId="2" borderId="3" xfId="0" applyNumberFormat="1" applyFont="1" applyFill="1" applyBorder="1" applyAlignment="1">
      <alignment vertical="center"/>
    </xf>
    <xf numFmtId="177" fontId="13" fillId="2" borderId="4" xfId="0" applyNumberFormat="1" applyFont="1" applyFill="1" applyBorder="1" applyAlignment="1">
      <alignment vertical="center"/>
    </xf>
    <xf numFmtId="177" fontId="13" fillId="2" borderId="2" xfId="0" applyNumberFormat="1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40" fontId="21" fillId="0" borderId="2" xfId="1" applyNumberFormat="1" applyFont="1" applyFill="1" applyBorder="1" applyAlignment="1">
      <alignment vertical="center"/>
    </xf>
    <xf numFmtId="40" fontId="21" fillId="0" borderId="4" xfId="1" applyNumberFormat="1" applyFont="1" applyFill="1" applyBorder="1" applyAlignment="1">
      <alignment vertical="center"/>
    </xf>
    <xf numFmtId="38" fontId="21" fillId="0" borderId="5" xfId="1" applyFont="1" applyFill="1" applyBorder="1" applyAlignment="1">
      <alignment horizontal="center" vertical="center" shrinkToFit="1"/>
    </xf>
    <xf numFmtId="38" fontId="21" fillId="0" borderId="6" xfId="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8" fontId="21" fillId="0" borderId="2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38" fontId="21" fillId="0" borderId="15" xfId="1" applyFont="1" applyFill="1" applyBorder="1" applyAlignment="1">
      <alignment horizontal="center" vertical="center"/>
    </xf>
    <xf numFmtId="38" fontId="21" fillId="0" borderId="13" xfId="1" applyFont="1" applyFill="1" applyBorder="1" applyAlignment="1">
      <alignment horizontal="center" vertical="center"/>
    </xf>
    <xf numFmtId="38" fontId="21" fillId="0" borderId="16" xfId="1" applyFont="1" applyFill="1" applyBorder="1" applyAlignment="1">
      <alignment horizontal="center" vertical="center"/>
    </xf>
    <xf numFmtId="38" fontId="21" fillId="0" borderId="46" xfId="1" applyFont="1" applyFill="1" applyBorder="1" applyAlignment="1">
      <alignment horizontal="center" vertical="center"/>
    </xf>
    <xf numFmtId="38" fontId="21" fillId="0" borderId="7" xfId="1" applyFont="1" applyFill="1" applyBorder="1" applyAlignment="1">
      <alignment horizontal="center" vertical="center" shrinkToFit="1"/>
    </xf>
    <xf numFmtId="38" fontId="21" fillId="0" borderId="14" xfId="1" applyFont="1" applyFill="1" applyBorder="1" applyAlignment="1">
      <alignment horizontal="center" vertical="center" shrinkToFit="1"/>
    </xf>
    <xf numFmtId="38" fontId="22" fillId="0" borderId="8" xfId="0" applyNumberFormat="1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38" fontId="21" fillId="0" borderId="3" xfId="0" applyNumberFormat="1" applyFont="1" applyFill="1" applyBorder="1" applyAlignment="1">
      <alignment vertical="center"/>
    </xf>
    <xf numFmtId="38" fontId="21" fillId="0" borderId="4" xfId="0" applyNumberFormat="1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52" fillId="0" borderId="46" xfId="0" applyFont="1" applyFill="1" applyBorder="1" applyAlignment="1">
      <alignment horizontal="left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4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8" fontId="20" fillId="0" borderId="2" xfId="0" applyNumberFormat="1" applyFont="1" applyFill="1" applyBorder="1" applyAlignment="1">
      <alignment vertical="center"/>
    </xf>
    <xf numFmtId="38" fontId="20" fillId="0" borderId="4" xfId="0" applyNumberFormat="1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0" fontId="20" fillId="0" borderId="2" xfId="1" applyNumberFormat="1" applyFont="1" applyFill="1" applyBorder="1" applyAlignment="1">
      <alignment vertical="center"/>
    </xf>
    <xf numFmtId="40" fontId="20" fillId="0" borderId="4" xfId="1" applyNumberFormat="1" applyFont="1" applyFill="1" applyBorder="1" applyAlignment="1">
      <alignment vertical="center"/>
    </xf>
    <xf numFmtId="38" fontId="20" fillId="2" borderId="2" xfId="1" applyFont="1" applyFill="1" applyBorder="1" applyAlignment="1">
      <alignment vertical="center"/>
    </xf>
    <xf numFmtId="38" fontId="20" fillId="2" borderId="4" xfId="1" applyFont="1" applyFill="1" applyBorder="1" applyAlignment="1">
      <alignment vertical="center"/>
    </xf>
    <xf numFmtId="38" fontId="27" fillId="0" borderId="2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38" fontId="20" fillId="0" borderId="2" xfId="1" applyFont="1" applyFill="1" applyBorder="1" applyAlignment="1">
      <alignment vertical="center"/>
    </xf>
    <xf numFmtId="38" fontId="20" fillId="0" borderId="3" xfId="1" applyFont="1" applyFill="1" applyBorder="1" applyAlignment="1">
      <alignment vertical="center"/>
    </xf>
    <xf numFmtId="38" fontId="20" fillId="0" borderId="4" xfId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38" fontId="27" fillId="0" borderId="2" xfId="0" applyNumberFormat="1" applyFont="1" applyFill="1" applyBorder="1" applyAlignment="1">
      <alignment horizontal="right" vertical="center"/>
    </xf>
    <xf numFmtId="0" fontId="27" fillId="0" borderId="3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40" fontId="20" fillId="0" borderId="2" xfId="1" applyNumberFormat="1" applyFont="1" applyFill="1" applyBorder="1" applyAlignment="1">
      <alignment vertical="center" wrapText="1"/>
    </xf>
    <xf numFmtId="40" fontId="20" fillId="0" borderId="4" xfId="1" applyNumberFormat="1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38" fontId="21" fillId="0" borderId="2" xfId="1" applyFont="1" applyFill="1" applyBorder="1" applyAlignment="1">
      <alignment vertical="center"/>
    </xf>
    <xf numFmtId="38" fontId="21" fillId="0" borderId="4" xfId="1" applyFont="1" applyFill="1" applyBorder="1" applyAlignment="1">
      <alignment vertical="center"/>
    </xf>
    <xf numFmtId="38" fontId="21" fillId="0" borderId="2" xfId="0" applyNumberFormat="1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38" fontId="21" fillId="2" borderId="2" xfId="1" applyFont="1" applyFill="1" applyBorder="1" applyAlignment="1">
      <alignment vertical="center"/>
    </xf>
    <xf numFmtId="38" fontId="21" fillId="2" borderId="4" xfId="1" applyFont="1" applyFill="1" applyBorder="1" applyAlignment="1">
      <alignment vertical="center"/>
    </xf>
    <xf numFmtId="38" fontId="21" fillId="0" borderId="5" xfId="1" applyFont="1" applyFill="1" applyBorder="1" applyAlignment="1">
      <alignment horizontal="center" vertical="center"/>
    </xf>
    <xf numFmtId="38" fontId="21" fillId="0" borderId="6" xfId="1" applyFont="1" applyFill="1" applyBorder="1" applyAlignment="1">
      <alignment horizontal="center" vertical="center"/>
    </xf>
    <xf numFmtId="179" fontId="21" fillId="2" borderId="2" xfId="1" applyNumberFormat="1" applyFont="1" applyFill="1" applyBorder="1" applyAlignment="1">
      <alignment vertical="center"/>
    </xf>
    <xf numFmtId="179" fontId="21" fillId="2" borderId="4" xfId="1" applyNumberFormat="1" applyFont="1" applyFill="1" applyBorder="1" applyAlignment="1">
      <alignment vertical="center"/>
    </xf>
    <xf numFmtId="38" fontId="21" fillId="0" borderId="2" xfId="1" applyFont="1" applyFill="1" applyBorder="1" applyAlignment="1">
      <alignment horizontal="center" vertical="center" wrapText="1"/>
    </xf>
    <xf numFmtId="38" fontId="21" fillId="0" borderId="3" xfId="1" applyFont="1" applyFill="1" applyBorder="1" applyAlignment="1">
      <alignment horizontal="center" vertical="center" wrapText="1"/>
    </xf>
    <xf numFmtId="38" fontId="21" fillId="0" borderId="4" xfId="1" applyFont="1" applyFill="1" applyBorder="1" applyAlignment="1">
      <alignment horizontal="center" vertical="center" wrapText="1"/>
    </xf>
    <xf numFmtId="40" fontId="21" fillId="2" borderId="2" xfId="1" applyNumberFormat="1" applyFont="1" applyFill="1" applyBorder="1" applyAlignment="1">
      <alignment vertical="center"/>
    </xf>
    <xf numFmtId="40" fontId="21" fillId="2" borderId="4" xfId="1" applyNumberFormat="1" applyFont="1" applyFill="1" applyBorder="1" applyAlignment="1">
      <alignment vertical="center"/>
    </xf>
    <xf numFmtId="38" fontId="19" fillId="0" borderId="1" xfId="1" applyFont="1" applyFill="1" applyBorder="1" applyAlignment="1">
      <alignment horizontal="center" vertical="center"/>
    </xf>
    <xf numFmtId="38" fontId="21" fillId="0" borderId="1" xfId="1" applyFont="1" applyFill="1" applyBorder="1" applyAlignment="1">
      <alignment horizontal="center" vertical="center" wrapText="1"/>
    </xf>
    <xf numFmtId="38" fontId="21" fillId="0" borderId="0" xfId="1" applyFont="1" applyFill="1" applyAlignment="1">
      <alignment horizontal="left" vertical="center"/>
    </xf>
    <xf numFmtId="38" fontId="19" fillId="0" borderId="0" xfId="1" applyFont="1" applyFill="1" applyAlignment="1">
      <alignment horizontal="left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6" xfId="1" applyFont="1" applyFill="1" applyBorder="1" applyAlignment="1">
      <alignment horizontal="center" vertical="center"/>
    </xf>
    <xf numFmtId="38" fontId="19" fillId="0" borderId="2" xfId="1" applyFont="1" applyFill="1" applyBorder="1" applyAlignment="1">
      <alignment vertical="center"/>
    </xf>
    <xf numFmtId="38" fontId="19" fillId="0" borderId="4" xfId="1" applyFont="1" applyFill="1" applyBorder="1" applyAlignment="1">
      <alignment vertical="center"/>
    </xf>
    <xf numFmtId="38" fontId="19" fillId="0" borderId="2" xfId="1" applyFont="1" applyFill="1" applyBorder="1" applyAlignment="1">
      <alignment horizontal="center" vertical="center" wrapText="1"/>
    </xf>
    <xf numFmtId="38" fontId="19" fillId="0" borderId="3" xfId="1" applyFont="1" applyFill="1" applyBorder="1" applyAlignment="1">
      <alignment horizontal="center" vertical="center" wrapText="1"/>
    </xf>
    <xf numFmtId="38" fontId="19" fillId="0" borderId="4" xfId="1" applyFont="1" applyFill="1" applyBorder="1" applyAlignment="1">
      <alignment horizontal="center" vertical="center" wrapText="1"/>
    </xf>
    <xf numFmtId="38" fontId="19" fillId="0" borderId="2" xfId="0" applyNumberFormat="1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38" fontId="19" fillId="2" borderId="2" xfId="1" applyFont="1" applyFill="1" applyBorder="1" applyAlignment="1">
      <alignment vertical="center"/>
    </xf>
    <xf numFmtId="38" fontId="19" fillId="2" borderId="4" xfId="1" applyFont="1" applyFill="1" applyBorder="1" applyAlignment="1">
      <alignment vertical="center"/>
    </xf>
    <xf numFmtId="179" fontId="19" fillId="2" borderId="2" xfId="1" applyNumberFormat="1" applyFont="1" applyFill="1" applyBorder="1" applyAlignment="1">
      <alignment vertical="center"/>
    </xf>
    <xf numFmtId="179" fontId="19" fillId="2" borderId="4" xfId="1" applyNumberFormat="1" applyFont="1" applyFill="1" applyBorder="1" applyAlignment="1">
      <alignment vertical="center"/>
    </xf>
    <xf numFmtId="38" fontId="21" fillId="0" borderId="14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center" vertical="center" wrapText="1"/>
    </xf>
    <xf numFmtId="38" fontId="21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38" fontId="21" fillId="0" borderId="1" xfId="1" applyFont="1" applyFill="1" applyBorder="1" applyAlignment="1">
      <alignment vertical="center"/>
    </xf>
    <xf numFmtId="38" fontId="19" fillId="0" borderId="2" xfId="1" applyFont="1" applyFill="1" applyBorder="1" applyAlignment="1">
      <alignment horizontal="center" vertical="center"/>
    </xf>
    <xf numFmtId="38" fontId="21" fillId="0" borderId="3" xfId="1" applyFont="1" applyFill="1" applyBorder="1" applyAlignment="1">
      <alignment horizontal="center" vertical="center"/>
    </xf>
    <xf numFmtId="38" fontId="21" fillId="0" borderId="4" xfId="1" applyFont="1" applyFill="1" applyBorder="1" applyAlignment="1">
      <alignment horizontal="center" vertical="center"/>
    </xf>
    <xf numFmtId="38" fontId="21" fillId="0" borderId="1" xfId="1" applyFont="1" applyFill="1" applyBorder="1" applyAlignment="1">
      <alignment horizontal="center" vertical="center"/>
    </xf>
    <xf numFmtId="38" fontId="19" fillId="0" borderId="0" xfId="1" applyFont="1" applyFill="1" applyAlignment="1">
      <alignment horizontal="center" vertical="center"/>
    </xf>
    <xf numFmtId="38" fontId="21" fillId="2" borderId="2" xfId="1" applyFont="1" applyFill="1" applyBorder="1" applyAlignment="1">
      <alignment horizontal="right" vertical="center"/>
    </xf>
    <xf numFmtId="38" fontId="21" fillId="2" borderId="4" xfId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38" fontId="22" fillId="0" borderId="2" xfId="0" applyNumberFormat="1" applyFont="1" applyFill="1" applyBorder="1" applyAlignment="1">
      <alignment horizontal="right" vertical="center"/>
    </xf>
    <xf numFmtId="38" fontId="22" fillId="0" borderId="3" xfId="0" applyNumberFormat="1" applyFont="1" applyFill="1" applyBorder="1" applyAlignment="1">
      <alignment horizontal="right" vertical="center"/>
    </xf>
    <xf numFmtId="38" fontId="22" fillId="0" borderId="4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38" fontId="21" fillId="0" borderId="3" xfId="1" applyFont="1" applyFill="1" applyBorder="1" applyAlignment="1">
      <alignment vertical="center"/>
    </xf>
    <xf numFmtId="0" fontId="22" fillId="0" borderId="3" xfId="0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right" vertical="center"/>
    </xf>
    <xf numFmtId="38" fontId="21" fillId="0" borderId="17" xfId="1" applyFont="1" applyFill="1" applyBorder="1" applyAlignment="1">
      <alignment horizontal="left" vertical="center"/>
    </xf>
    <xf numFmtId="181" fontId="22" fillId="0" borderId="17" xfId="1" applyNumberFormat="1" applyFont="1" applyFill="1" applyBorder="1" applyAlignment="1">
      <alignment horizontal="center" vertical="center"/>
    </xf>
    <xf numFmtId="38" fontId="22" fillId="0" borderId="0" xfId="1" applyNumberFormat="1" applyFont="1" applyFill="1" applyBorder="1" applyAlignment="1">
      <alignment horizontal="center" vertical="center"/>
    </xf>
    <xf numFmtId="38" fontId="21" fillId="0" borderId="0" xfId="1" applyFont="1" applyFill="1" applyAlignment="1">
      <alignment horizontal="left" vertical="center" wrapText="1"/>
    </xf>
    <xf numFmtId="38" fontId="21" fillId="0" borderId="15" xfId="1" applyFont="1" applyFill="1" applyBorder="1" applyAlignment="1">
      <alignment horizontal="center" vertical="center" wrapText="1"/>
    </xf>
    <xf numFmtId="38" fontId="21" fillId="0" borderId="13" xfId="1" applyFont="1" applyFill="1" applyBorder="1" applyAlignment="1">
      <alignment horizontal="center" vertical="center" wrapText="1"/>
    </xf>
    <xf numFmtId="38" fontId="21" fillId="0" borderId="4" xfId="0" applyNumberFormat="1" applyFont="1" applyFill="1" applyBorder="1" applyAlignment="1">
      <alignment vertical="center" wrapText="1"/>
    </xf>
    <xf numFmtId="38" fontId="21" fillId="0" borderId="5" xfId="0" applyNumberFormat="1" applyFont="1" applyFill="1" applyBorder="1" applyAlignment="1">
      <alignment vertical="center" wrapText="1"/>
    </xf>
    <xf numFmtId="38" fontId="21" fillId="0" borderId="62" xfId="5" applyFont="1" applyFill="1" applyBorder="1" applyAlignment="1">
      <alignment horizontal="center" vertical="center" wrapText="1"/>
    </xf>
    <xf numFmtId="38" fontId="21" fillId="0" borderId="69" xfId="5" applyFont="1" applyFill="1" applyBorder="1" applyAlignment="1">
      <alignment horizontal="center" vertical="center" wrapText="1"/>
    </xf>
    <xf numFmtId="0" fontId="21" fillId="0" borderId="72" xfId="4" applyFont="1" applyFill="1" applyBorder="1" applyAlignment="1">
      <alignment horizontal="center" vertical="center" wrapText="1"/>
    </xf>
    <xf numFmtId="0" fontId="21" fillId="0" borderId="73" xfId="4" applyFont="1" applyFill="1" applyBorder="1" applyAlignment="1">
      <alignment horizontal="center" vertical="center" wrapText="1"/>
    </xf>
    <xf numFmtId="40" fontId="21" fillId="0" borderId="2" xfId="5" applyNumberFormat="1" applyFont="1" applyFill="1" applyBorder="1" applyAlignment="1">
      <alignment horizontal="center" vertical="center" wrapText="1"/>
    </xf>
    <xf numFmtId="40" fontId="21" fillId="0" borderId="3" xfId="5" applyNumberFormat="1" applyFont="1" applyFill="1" applyBorder="1" applyAlignment="1">
      <alignment horizontal="center" vertical="center" wrapText="1"/>
    </xf>
    <xf numFmtId="38" fontId="21" fillId="0" borderId="70" xfId="5" applyFont="1" applyFill="1" applyBorder="1" applyAlignment="1">
      <alignment horizontal="center" vertical="center" wrapText="1"/>
    </xf>
    <xf numFmtId="38" fontId="21" fillId="0" borderId="71" xfId="5" applyFont="1" applyFill="1" applyBorder="1" applyAlignment="1">
      <alignment horizontal="center" vertical="center" wrapText="1"/>
    </xf>
    <xf numFmtId="0" fontId="21" fillId="0" borderId="0" xfId="4" applyFont="1" applyFill="1" applyAlignment="1">
      <alignment horizontal="left" vertical="center"/>
    </xf>
    <xf numFmtId="40" fontId="22" fillId="0" borderId="5" xfId="5" applyNumberFormat="1" applyFont="1" applyFill="1" applyBorder="1" applyAlignment="1">
      <alignment horizontal="center" vertical="center"/>
    </xf>
    <xf numFmtId="40" fontId="22" fillId="0" borderId="8" xfId="5" applyNumberFormat="1" applyFont="1" applyFill="1" applyBorder="1" applyAlignment="1">
      <alignment horizontal="center" vertical="center"/>
    </xf>
    <xf numFmtId="40" fontId="22" fillId="0" borderId="20" xfId="5" applyNumberFormat="1" applyFont="1" applyFill="1" applyBorder="1" applyAlignment="1">
      <alignment horizontal="center" vertical="center"/>
    </xf>
    <xf numFmtId="40" fontId="22" fillId="0" borderId="13" xfId="5" applyNumberFormat="1" applyFont="1" applyFill="1" applyBorder="1" applyAlignment="1">
      <alignment horizontal="center" vertical="center"/>
    </xf>
    <xf numFmtId="0" fontId="22" fillId="0" borderId="5" xfId="4" applyFont="1" applyFill="1" applyBorder="1" applyAlignment="1">
      <alignment horizontal="center" vertical="center"/>
    </xf>
    <xf numFmtId="0" fontId="22" fillId="0" borderId="8" xfId="4" applyFont="1" applyFill="1" applyBorder="1" applyAlignment="1">
      <alignment horizontal="center" vertical="center"/>
    </xf>
    <xf numFmtId="0" fontId="22" fillId="0" borderId="13" xfId="4" applyFont="1" applyFill="1" applyBorder="1" applyAlignment="1">
      <alignment horizontal="center" vertical="center"/>
    </xf>
    <xf numFmtId="0" fontId="21" fillId="0" borderId="2" xfId="4" applyFont="1" applyFill="1" applyBorder="1" applyAlignment="1">
      <alignment horizontal="center" vertical="center" wrapText="1"/>
    </xf>
    <xf numFmtId="0" fontId="21" fillId="0" borderId="3" xfId="4" applyFont="1" applyFill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center" vertical="center" wrapText="1"/>
    </xf>
    <xf numFmtId="0" fontId="21" fillId="0" borderId="7" xfId="4" applyFont="1" applyFill="1" applyBorder="1" applyAlignment="1">
      <alignment horizontal="center" vertical="center"/>
    </xf>
    <xf numFmtId="0" fontId="21" fillId="0" borderId="17" xfId="4" applyFont="1" applyFill="1" applyBorder="1" applyAlignment="1">
      <alignment horizontal="center" vertical="center"/>
    </xf>
    <xf numFmtId="0" fontId="21" fillId="0" borderId="14" xfId="4" applyFont="1" applyFill="1" applyBorder="1" applyAlignment="1">
      <alignment horizontal="center" vertical="center"/>
    </xf>
    <xf numFmtId="0" fontId="21" fillId="0" borderId="2" xfId="4" applyFont="1" applyFill="1" applyBorder="1" applyAlignment="1">
      <alignment horizontal="center" vertical="center"/>
    </xf>
    <xf numFmtId="0" fontId="21" fillId="0" borderId="3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38" fontId="21" fillId="0" borderId="18" xfId="5" applyFont="1" applyFill="1" applyBorder="1" applyAlignment="1">
      <alignment horizontal="center" vertical="center" wrapText="1"/>
    </xf>
    <xf numFmtId="38" fontId="21" fillId="0" borderId="61" xfId="5" applyFont="1" applyFill="1" applyBorder="1" applyAlignment="1">
      <alignment horizontal="center" vertical="center" wrapText="1"/>
    </xf>
    <xf numFmtId="38" fontId="21" fillId="0" borderId="60" xfId="5" applyFont="1" applyFill="1" applyBorder="1" applyAlignment="1">
      <alignment horizontal="center" vertical="center" wrapText="1"/>
    </xf>
    <xf numFmtId="38" fontId="21" fillId="0" borderId="2" xfId="5" applyFont="1" applyFill="1" applyBorder="1" applyAlignment="1">
      <alignment horizontal="center" vertical="center" wrapText="1"/>
    </xf>
    <xf numFmtId="38" fontId="21" fillId="0" borderId="3" xfId="5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3"/>
    <cellStyle name="桁区切り 2 2" xfId="7"/>
    <cellStyle name="桁区切り 3" xfId="5"/>
    <cellStyle name="標準" xfId="0" builtinId="0"/>
    <cellStyle name="標準 2" xfId="2"/>
    <cellStyle name="標準 2 2" xfId="6"/>
    <cellStyle name="標準 3" xfId="4"/>
  </cellStyles>
  <dxfs count="0"/>
  <tableStyles count="0" defaultTableStyle="TableStyleMedium2" defaultPivotStyle="PivotStyleLight16"/>
  <colors>
    <mruColors>
      <color rgb="FFFFFFCC"/>
      <color rgb="FFFFFFA3"/>
      <color rgb="FFD5FFFF"/>
      <color rgb="FFFFD9FF"/>
      <color rgb="FFFFCDFF"/>
      <color rgb="FFB3FFFF"/>
      <color rgb="FFB7DEE8"/>
      <color rgb="FF0000FF"/>
      <color rgb="FFF6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24</xdr:row>
      <xdr:rowOff>136525</xdr:rowOff>
    </xdr:from>
    <xdr:to>
      <xdr:col>5</xdr:col>
      <xdr:colOff>600075</xdr:colOff>
      <xdr:row>26</xdr:row>
      <xdr:rowOff>61912</xdr:rowOff>
    </xdr:to>
    <xdr:sp macro="" textlink="">
      <xdr:nvSpPr>
        <xdr:cNvPr id="244" name="Rectangle 14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>
          <a:spLocks noChangeArrowheads="1"/>
        </xdr:cNvSpPr>
      </xdr:nvSpPr>
      <xdr:spPr bwMode="auto">
        <a:xfrm rot="18953430" flipH="1">
          <a:off x="4425950" y="3051175"/>
          <a:ext cx="288925" cy="268287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</xdr:col>
      <xdr:colOff>106363</xdr:colOff>
      <xdr:row>23</xdr:row>
      <xdr:rowOff>20637</xdr:rowOff>
    </xdr:from>
    <xdr:to>
      <xdr:col>4</xdr:col>
      <xdr:colOff>566738</xdr:colOff>
      <xdr:row>23</xdr:row>
      <xdr:rowOff>20637</xdr:rowOff>
    </xdr:to>
    <xdr:sp macro="" textlink="">
      <xdr:nvSpPr>
        <xdr:cNvPr id="245" name="Line 15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>
          <a:spLocks noChangeShapeType="1"/>
        </xdr:cNvSpPr>
      </xdr:nvSpPr>
      <xdr:spPr bwMode="auto">
        <a:xfrm>
          <a:off x="1477963" y="2763837"/>
          <a:ext cx="251777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347663</xdr:colOff>
      <xdr:row>23</xdr:row>
      <xdr:rowOff>20637</xdr:rowOff>
    </xdr:from>
    <xdr:to>
      <xdr:col>10</xdr:col>
      <xdr:colOff>53975</xdr:colOff>
      <xdr:row>23</xdr:row>
      <xdr:rowOff>20637</xdr:rowOff>
    </xdr:to>
    <xdr:sp macro="" textlink="">
      <xdr:nvSpPr>
        <xdr:cNvPr id="246" name="Line 16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>
          <a:spLocks noChangeShapeType="1"/>
        </xdr:cNvSpPr>
      </xdr:nvSpPr>
      <xdr:spPr bwMode="auto">
        <a:xfrm>
          <a:off x="5148263" y="2763837"/>
          <a:ext cx="2449512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9</xdr:row>
      <xdr:rowOff>44450</xdr:rowOff>
    </xdr:from>
    <xdr:to>
      <xdr:col>6</xdr:col>
      <xdr:colOff>203200</xdr:colOff>
      <xdr:row>22</xdr:row>
      <xdr:rowOff>47625</xdr:rowOff>
    </xdr:to>
    <xdr:sp macro="" textlink="">
      <xdr:nvSpPr>
        <xdr:cNvPr id="247" name="Line 17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>
          <a:spLocks noChangeShapeType="1"/>
        </xdr:cNvSpPr>
      </xdr:nvSpPr>
      <xdr:spPr bwMode="auto">
        <a:xfrm rot="16200000">
          <a:off x="3887787" y="1503363"/>
          <a:ext cx="22320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25400</xdr:colOff>
      <xdr:row>9</xdr:row>
      <xdr:rowOff>44450</xdr:rowOff>
    </xdr:from>
    <xdr:to>
      <xdr:col>5</xdr:col>
      <xdr:colOff>25400</xdr:colOff>
      <xdr:row>22</xdr:row>
      <xdr:rowOff>47625</xdr:rowOff>
    </xdr:to>
    <xdr:sp macro="" textlink="">
      <xdr:nvSpPr>
        <xdr:cNvPr id="248" name="Line 18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SpPr>
          <a:spLocks noChangeShapeType="1"/>
        </xdr:cNvSpPr>
      </xdr:nvSpPr>
      <xdr:spPr bwMode="auto">
        <a:xfrm rot="16200000">
          <a:off x="3024187" y="1503363"/>
          <a:ext cx="22320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568325</xdr:colOff>
      <xdr:row>22</xdr:row>
      <xdr:rowOff>47625</xdr:rowOff>
    </xdr:from>
    <xdr:to>
      <xdr:col>5</xdr:col>
      <xdr:colOff>25400</xdr:colOff>
      <xdr:row>23</xdr:row>
      <xdr:rowOff>20637</xdr:rowOff>
    </xdr:to>
    <xdr:sp macro="" textlink="">
      <xdr:nvSpPr>
        <xdr:cNvPr id="249" name="Arc 19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>
          <a:spLocks/>
        </xdr:cNvSpPr>
      </xdr:nvSpPr>
      <xdr:spPr bwMode="auto">
        <a:xfrm rot="5400000">
          <a:off x="3996532" y="262016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22</xdr:row>
      <xdr:rowOff>47625</xdr:rowOff>
    </xdr:from>
    <xdr:to>
      <xdr:col>6</xdr:col>
      <xdr:colOff>347663</xdr:colOff>
      <xdr:row>23</xdr:row>
      <xdr:rowOff>20637</xdr:rowOff>
    </xdr:to>
    <xdr:sp macro="" textlink="">
      <xdr:nvSpPr>
        <xdr:cNvPr id="250" name="Arc 20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SpPr>
          <a:spLocks/>
        </xdr:cNvSpPr>
      </xdr:nvSpPr>
      <xdr:spPr bwMode="auto">
        <a:xfrm rot="16200000" flipH="1">
          <a:off x="5004595" y="262016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28</xdr:row>
      <xdr:rowOff>28575</xdr:rowOff>
    </xdr:from>
    <xdr:to>
      <xdr:col>6</xdr:col>
      <xdr:colOff>347663</xdr:colOff>
      <xdr:row>29</xdr:row>
      <xdr:rowOff>0</xdr:rowOff>
    </xdr:to>
    <xdr:sp macro="" textlink="">
      <xdr:nvSpPr>
        <xdr:cNvPr id="251" name="Arc 21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SpPr>
          <a:spLocks/>
        </xdr:cNvSpPr>
      </xdr:nvSpPr>
      <xdr:spPr bwMode="auto">
        <a:xfrm flipH="1">
          <a:off x="5003800" y="3629025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568325</xdr:colOff>
      <xdr:row>28</xdr:row>
      <xdr:rowOff>26987</xdr:rowOff>
    </xdr:from>
    <xdr:to>
      <xdr:col>5</xdr:col>
      <xdr:colOff>25400</xdr:colOff>
      <xdr:row>29</xdr:row>
      <xdr:rowOff>0</xdr:rowOff>
    </xdr:to>
    <xdr:sp macro="" textlink="">
      <xdr:nvSpPr>
        <xdr:cNvPr id="252" name="Arc 22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SpPr>
          <a:spLocks/>
        </xdr:cNvSpPr>
      </xdr:nvSpPr>
      <xdr:spPr bwMode="auto">
        <a:xfrm rot="5400000" flipH="1">
          <a:off x="3996531" y="3628231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107950</xdr:colOff>
      <xdr:row>28</xdr:row>
      <xdr:rowOff>26987</xdr:rowOff>
    </xdr:from>
    <xdr:to>
      <xdr:col>4</xdr:col>
      <xdr:colOff>568325</xdr:colOff>
      <xdr:row>28</xdr:row>
      <xdr:rowOff>26987</xdr:rowOff>
    </xdr:to>
    <xdr:sp macro="" textlink="">
      <xdr:nvSpPr>
        <xdr:cNvPr id="253" name="Line 23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SpPr>
          <a:spLocks noChangeShapeType="1"/>
        </xdr:cNvSpPr>
      </xdr:nvSpPr>
      <xdr:spPr bwMode="auto">
        <a:xfrm>
          <a:off x="1479550" y="3627437"/>
          <a:ext cx="251777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347663</xdr:colOff>
      <xdr:row>28</xdr:row>
      <xdr:rowOff>26987</xdr:rowOff>
    </xdr:from>
    <xdr:to>
      <xdr:col>10</xdr:col>
      <xdr:colOff>53975</xdr:colOff>
      <xdr:row>28</xdr:row>
      <xdr:rowOff>26987</xdr:rowOff>
    </xdr:to>
    <xdr:sp macro="" textlink="">
      <xdr:nvSpPr>
        <xdr:cNvPr id="254" name="Line 24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SpPr>
          <a:spLocks noChangeShapeType="1"/>
        </xdr:cNvSpPr>
      </xdr:nvSpPr>
      <xdr:spPr bwMode="auto">
        <a:xfrm>
          <a:off x="5148263" y="3627437"/>
          <a:ext cx="2449512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29</xdr:row>
      <xdr:rowOff>0</xdr:rowOff>
    </xdr:from>
    <xdr:to>
      <xdr:col>6</xdr:col>
      <xdr:colOff>203200</xdr:colOff>
      <xdr:row>42</xdr:row>
      <xdr:rowOff>3175</xdr:rowOff>
    </xdr:to>
    <xdr:sp macro="" textlink="">
      <xdr:nvSpPr>
        <xdr:cNvPr id="255" name="Line 25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>
          <a:spLocks noChangeShapeType="1"/>
        </xdr:cNvSpPr>
      </xdr:nvSpPr>
      <xdr:spPr bwMode="auto">
        <a:xfrm rot="5400000" flipH="1">
          <a:off x="3887787" y="4887913"/>
          <a:ext cx="22320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25400</xdr:colOff>
      <xdr:row>29</xdr:row>
      <xdr:rowOff>0</xdr:rowOff>
    </xdr:from>
    <xdr:to>
      <xdr:col>5</xdr:col>
      <xdr:colOff>25400</xdr:colOff>
      <xdr:row>42</xdr:row>
      <xdr:rowOff>3175</xdr:rowOff>
    </xdr:to>
    <xdr:sp macro="" textlink="">
      <xdr:nvSpPr>
        <xdr:cNvPr id="256" name="Line 26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SpPr>
          <a:spLocks noChangeShapeType="1"/>
        </xdr:cNvSpPr>
      </xdr:nvSpPr>
      <xdr:spPr bwMode="auto">
        <a:xfrm rot="16200000" flipV="1">
          <a:off x="3024187" y="4887913"/>
          <a:ext cx="22320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106363</xdr:colOff>
      <xdr:row>29</xdr:row>
      <xdr:rowOff>144462</xdr:rowOff>
    </xdr:from>
    <xdr:to>
      <xdr:col>5</xdr:col>
      <xdr:colOff>26988</xdr:colOff>
      <xdr:row>29</xdr:row>
      <xdr:rowOff>144462</xdr:rowOff>
    </xdr:to>
    <xdr:sp macro="" textlink="">
      <xdr:nvSpPr>
        <xdr:cNvPr id="257" name="Line 31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>
          <a:spLocks noChangeShapeType="1"/>
        </xdr:cNvSpPr>
      </xdr:nvSpPr>
      <xdr:spPr bwMode="auto">
        <a:xfrm>
          <a:off x="1477963" y="3916362"/>
          <a:ext cx="266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29</xdr:row>
      <xdr:rowOff>144462</xdr:rowOff>
    </xdr:from>
    <xdr:to>
      <xdr:col>10</xdr:col>
      <xdr:colOff>53975</xdr:colOff>
      <xdr:row>29</xdr:row>
      <xdr:rowOff>144462</xdr:rowOff>
    </xdr:to>
    <xdr:sp macro="" textlink="">
      <xdr:nvSpPr>
        <xdr:cNvPr id="258" name="Line 33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>
          <a:spLocks noChangeShapeType="1"/>
        </xdr:cNvSpPr>
      </xdr:nvSpPr>
      <xdr:spPr bwMode="auto">
        <a:xfrm>
          <a:off x="5003800" y="3916362"/>
          <a:ext cx="259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369348</xdr:colOff>
      <xdr:row>34</xdr:row>
      <xdr:rowOff>152400</xdr:rowOff>
    </xdr:from>
    <xdr:to>
      <xdr:col>7</xdr:col>
      <xdr:colOff>10065</xdr:colOff>
      <xdr:row>38</xdr:row>
      <xdr:rowOff>112712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 txBox="1">
          <a:spLocks noChangeArrowheads="1"/>
        </xdr:cNvSpPr>
      </xdr:nvSpPr>
      <xdr:spPr bwMode="auto">
        <a:xfrm rot="16200000">
          <a:off x="4032251" y="4973097"/>
          <a:ext cx="6715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312m</a:t>
          </a:r>
        </a:p>
      </xdr:txBody>
    </xdr:sp>
    <xdr:clientData/>
  </xdr:twoCellAnchor>
  <xdr:twoCellAnchor>
    <xdr:from>
      <xdr:col>7</xdr:col>
      <xdr:colOff>487363</xdr:colOff>
      <xdr:row>28</xdr:row>
      <xdr:rowOff>20637</xdr:rowOff>
    </xdr:from>
    <xdr:to>
      <xdr:col>8</xdr:col>
      <xdr:colOff>447675</xdr:colOff>
      <xdr:row>29</xdr:row>
      <xdr:rowOff>118554</xdr:rowOff>
    </xdr:to>
    <xdr:sp macro="" textlink="">
      <xdr:nvSpPr>
        <xdr:cNvPr id="260" name="Text Box 36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4983163" y="3576637"/>
          <a:ext cx="5953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543m</a:t>
          </a:r>
        </a:p>
      </xdr:txBody>
    </xdr:sp>
    <xdr:clientData/>
  </xdr:twoCellAnchor>
  <xdr:twoCellAnchor>
    <xdr:from>
      <xdr:col>7</xdr:col>
      <xdr:colOff>22225</xdr:colOff>
      <xdr:row>28</xdr:row>
      <xdr:rowOff>26987</xdr:rowOff>
    </xdr:from>
    <xdr:to>
      <xdr:col>7</xdr:col>
      <xdr:colOff>22225</xdr:colOff>
      <xdr:row>42</xdr:row>
      <xdr:rowOff>3175</xdr:rowOff>
    </xdr:to>
    <xdr:sp macro="" textlink="">
      <xdr:nvSpPr>
        <xdr:cNvPr id="261" name="Line 37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>
          <a:spLocks noChangeShapeType="1"/>
        </xdr:cNvSpPr>
      </xdr:nvSpPr>
      <xdr:spPr bwMode="auto">
        <a:xfrm rot="5400000">
          <a:off x="4320381" y="4815681"/>
          <a:ext cx="23764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7</xdr:col>
      <xdr:colOff>22225</xdr:colOff>
      <xdr:row>9</xdr:row>
      <xdr:rowOff>44450</xdr:rowOff>
    </xdr:from>
    <xdr:to>
      <xdr:col>7</xdr:col>
      <xdr:colOff>31750</xdr:colOff>
      <xdr:row>23</xdr:row>
      <xdr:rowOff>20637</xdr:rowOff>
    </xdr:to>
    <xdr:sp macro="" textlink="">
      <xdr:nvSpPr>
        <xdr:cNvPr id="262" name="Line 38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>
          <a:spLocks noChangeShapeType="1"/>
        </xdr:cNvSpPr>
      </xdr:nvSpPr>
      <xdr:spPr bwMode="auto">
        <a:xfrm rot="5400000">
          <a:off x="4325144" y="1570831"/>
          <a:ext cx="2376487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369348</xdr:colOff>
      <xdr:row>15</xdr:row>
      <xdr:rowOff>147637</xdr:rowOff>
    </xdr:from>
    <xdr:to>
      <xdr:col>7</xdr:col>
      <xdr:colOff>10065</xdr:colOff>
      <xdr:row>19</xdr:row>
      <xdr:rowOff>109537</xdr:rowOff>
    </xdr:to>
    <xdr:sp macro="" textlink="">
      <xdr:nvSpPr>
        <xdr:cNvPr id="263" name="Text Box 39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 txBox="1">
          <a:spLocks noChangeArrowheads="1"/>
        </xdr:cNvSpPr>
      </xdr:nvSpPr>
      <xdr:spPr bwMode="auto">
        <a:xfrm rot="16200000">
          <a:off x="4031457" y="1590928"/>
          <a:ext cx="673100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250m</a:t>
          </a:r>
        </a:p>
      </xdr:txBody>
    </xdr:sp>
    <xdr:clientData/>
  </xdr:twoCellAnchor>
  <xdr:twoCellAnchor>
    <xdr:from>
      <xdr:col>2</xdr:col>
      <xdr:colOff>355600</xdr:colOff>
      <xdr:row>28</xdr:row>
      <xdr:rowOff>20637</xdr:rowOff>
    </xdr:from>
    <xdr:to>
      <xdr:col>3</xdr:col>
      <xdr:colOff>315913</xdr:colOff>
      <xdr:row>29</xdr:row>
      <xdr:rowOff>118554</xdr:rowOff>
    </xdr:to>
    <xdr:sp macro="" textlink="">
      <xdr:nvSpPr>
        <xdr:cNvPr id="264" name="Text Box 40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676400" y="3576637"/>
          <a:ext cx="595313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456m</a:t>
          </a:r>
        </a:p>
      </xdr:txBody>
    </xdr:sp>
    <xdr:clientData/>
  </xdr:twoCellAnchor>
  <xdr:twoCellAnchor>
    <xdr:from>
      <xdr:col>6</xdr:col>
      <xdr:colOff>347663</xdr:colOff>
      <xdr:row>23</xdr:row>
      <xdr:rowOff>92075</xdr:rowOff>
    </xdr:from>
    <xdr:to>
      <xdr:col>7</xdr:col>
      <xdr:colOff>28575</xdr:colOff>
      <xdr:row>27</xdr:row>
      <xdr:rowOff>53975</xdr:rowOff>
    </xdr:to>
    <xdr:sp macro="" textlink="">
      <xdr:nvSpPr>
        <xdr:cNvPr id="265" name="Text Box 64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 txBox="1">
          <a:spLocks noChangeArrowheads="1"/>
        </xdr:cNvSpPr>
      </xdr:nvSpPr>
      <xdr:spPr bwMode="auto">
        <a:xfrm rot="16200000">
          <a:off x="5007769" y="2975769"/>
          <a:ext cx="64770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7</xdr:col>
      <xdr:colOff>22225</xdr:colOff>
      <xdr:row>23</xdr:row>
      <xdr:rowOff>20637</xdr:rowOff>
    </xdr:from>
    <xdr:to>
      <xdr:col>7</xdr:col>
      <xdr:colOff>22225</xdr:colOff>
      <xdr:row>28</xdr:row>
      <xdr:rowOff>26987</xdr:rowOff>
    </xdr:to>
    <xdr:sp macro="" textlink="">
      <xdr:nvSpPr>
        <xdr:cNvPr id="266" name="Line 65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>
          <a:spLocks noChangeShapeType="1"/>
        </xdr:cNvSpPr>
      </xdr:nvSpPr>
      <xdr:spPr bwMode="auto">
        <a:xfrm rot="5400000">
          <a:off x="5076825" y="3195637"/>
          <a:ext cx="86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8</xdr:col>
      <xdr:colOff>344488</xdr:colOff>
      <xdr:row>26</xdr:row>
      <xdr:rowOff>153987</xdr:rowOff>
    </xdr:from>
    <xdr:to>
      <xdr:col>8</xdr:col>
      <xdr:colOff>631825</xdr:colOff>
      <xdr:row>28</xdr:row>
      <xdr:rowOff>26987</xdr:rowOff>
    </xdr:to>
    <xdr:sp macro="" textlink="">
      <xdr:nvSpPr>
        <xdr:cNvPr id="267" name="Rectangle 76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>
          <a:spLocks noChangeArrowheads="1"/>
        </xdr:cNvSpPr>
      </xdr:nvSpPr>
      <xdr:spPr bwMode="auto">
        <a:xfrm>
          <a:off x="6516688" y="3411537"/>
          <a:ext cx="287337" cy="215900"/>
        </a:xfrm>
        <a:prstGeom prst="rect">
          <a:avLst/>
        </a:prstGeom>
        <a:solidFill>
          <a:srgbClr val="FF0066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2</xdr:col>
      <xdr:colOff>139700</xdr:colOff>
      <xdr:row>26</xdr:row>
      <xdr:rowOff>153987</xdr:rowOff>
    </xdr:from>
    <xdr:to>
      <xdr:col>2</xdr:col>
      <xdr:colOff>427038</xdr:colOff>
      <xdr:row>28</xdr:row>
      <xdr:rowOff>26987</xdr:rowOff>
    </xdr:to>
    <xdr:sp macro="" textlink="">
      <xdr:nvSpPr>
        <xdr:cNvPr id="268" name="Rectangle 77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>
          <a:spLocks noChangeArrowheads="1"/>
        </xdr:cNvSpPr>
      </xdr:nvSpPr>
      <xdr:spPr bwMode="auto">
        <a:xfrm>
          <a:off x="2197100" y="3411537"/>
          <a:ext cx="287338" cy="215900"/>
        </a:xfrm>
        <a:prstGeom prst="rect">
          <a:avLst/>
        </a:prstGeom>
        <a:solidFill>
          <a:srgbClr val="FF0066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2</xdr:col>
      <xdr:colOff>427038</xdr:colOff>
      <xdr:row>27</xdr:row>
      <xdr:rowOff>53975</xdr:rowOff>
    </xdr:from>
    <xdr:to>
      <xdr:col>8</xdr:col>
      <xdr:colOff>417513</xdr:colOff>
      <xdr:row>27</xdr:row>
      <xdr:rowOff>53975</xdr:rowOff>
    </xdr:to>
    <xdr:sp macro="" textlink="">
      <xdr:nvSpPr>
        <xdr:cNvPr id="269" name="Line 78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>
          <a:spLocks noChangeShapeType="1"/>
        </xdr:cNvSpPr>
      </xdr:nvSpPr>
      <xdr:spPr bwMode="auto">
        <a:xfrm>
          <a:off x="2484438" y="3482975"/>
          <a:ext cx="4105275" cy="0"/>
        </a:xfrm>
        <a:prstGeom prst="line">
          <a:avLst/>
        </a:prstGeom>
        <a:noFill/>
        <a:ln w="76200">
          <a:solidFill>
            <a:srgbClr val="FF0066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427038</xdr:colOff>
      <xdr:row>32</xdr:row>
      <xdr:rowOff>55562</xdr:rowOff>
    </xdr:from>
    <xdr:to>
      <xdr:col>5</xdr:col>
      <xdr:colOff>25400</xdr:colOff>
      <xdr:row>32</xdr:row>
      <xdr:rowOff>61912</xdr:rowOff>
    </xdr:to>
    <xdr:sp macro="" textlink="">
      <xdr:nvSpPr>
        <xdr:cNvPr id="270" name="Line 79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484438" y="4341812"/>
          <a:ext cx="1655762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25400</xdr:colOff>
      <xdr:row>32</xdr:row>
      <xdr:rowOff>55562</xdr:rowOff>
    </xdr:from>
    <xdr:to>
      <xdr:col>6</xdr:col>
      <xdr:colOff>203200</xdr:colOff>
      <xdr:row>32</xdr:row>
      <xdr:rowOff>55562</xdr:rowOff>
    </xdr:to>
    <xdr:sp macro="" textlink="">
      <xdr:nvSpPr>
        <xdr:cNvPr id="271" name="Line 80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>
          <a:spLocks noChangeShapeType="1"/>
        </xdr:cNvSpPr>
      </xdr:nvSpPr>
      <xdr:spPr bwMode="auto">
        <a:xfrm>
          <a:off x="4140200" y="4341812"/>
          <a:ext cx="86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32</xdr:row>
      <xdr:rowOff>55562</xdr:rowOff>
    </xdr:from>
    <xdr:to>
      <xdr:col>8</xdr:col>
      <xdr:colOff>344488</xdr:colOff>
      <xdr:row>32</xdr:row>
      <xdr:rowOff>61912</xdr:rowOff>
    </xdr:to>
    <xdr:sp macro="" textlink="">
      <xdr:nvSpPr>
        <xdr:cNvPr id="272" name="Line 8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>
          <a:spLocks noChangeShapeType="1"/>
        </xdr:cNvSpPr>
      </xdr:nvSpPr>
      <xdr:spPr bwMode="auto">
        <a:xfrm>
          <a:off x="5003800" y="4341812"/>
          <a:ext cx="1512888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176213</xdr:colOff>
      <xdr:row>30</xdr:row>
      <xdr:rowOff>44450</xdr:rowOff>
    </xdr:from>
    <xdr:to>
      <xdr:col>6</xdr:col>
      <xdr:colOff>17463</xdr:colOff>
      <xdr:row>32</xdr:row>
      <xdr:rowOff>68262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4291013" y="398780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7</xdr:col>
      <xdr:colOff>103188</xdr:colOff>
      <xdr:row>30</xdr:row>
      <xdr:rowOff>44450</xdr:rowOff>
    </xdr:from>
    <xdr:to>
      <xdr:col>7</xdr:col>
      <xdr:colOff>630238</xdr:colOff>
      <xdr:row>32</xdr:row>
      <xdr:rowOff>68262</xdr:rowOff>
    </xdr:to>
    <xdr:sp macro="" textlink="">
      <xdr:nvSpPr>
        <xdr:cNvPr id="274" name="Text Box 83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5589588" y="398780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3</xdr:col>
      <xdr:colOff>173038</xdr:colOff>
      <xdr:row>30</xdr:row>
      <xdr:rowOff>44450</xdr:rowOff>
    </xdr:from>
    <xdr:to>
      <xdr:col>4</xdr:col>
      <xdr:colOff>14288</xdr:colOff>
      <xdr:row>32</xdr:row>
      <xdr:rowOff>68262</xdr:rowOff>
    </xdr:to>
    <xdr:sp macro="" textlink="">
      <xdr:nvSpPr>
        <xdr:cNvPr id="275" name="Text Box 84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2916238" y="398780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2</xdr:col>
      <xdr:colOff>139700</xdr:colOff>
      <xdr:row>32</xdr:row>
      <xdr:rowOff>61912</xdr:rowOff>
    </xdr:from>
    <xdr:to>
      <xdr:col>2</xdr:col>
      <xdr:colOff>427038</xdr:colOff>
      <xdr:row>32</xdr:row>
      <xdr:rowOff>61912</xdr:rowOff>
    </xdr:to>
    <xdr:sp macro="" textlink="">
      <xdr:nvSpPr>
        <xdr:cNvPr id="276" name="Line 86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197100" y="4348162"/>
          <a:ext cx="2873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681038</xdr:colOff>
      <xdr:row>30</xdr:row>
      <xdr:rowOff>50800</xdr:rowOff>
    </xdr:from>
    <xdr:to>
      <xdr:col>2</xdr:col>
      <xdr:colOff>522288</xdr:colOff>
      <xdr:row>32</xdr:row>
      <xdr:rowOff>74612</xdr:rowOff>
    </xdr:to>
    <xdr:sp macro="" textlink="">
      <xdr:nvSpPr>
        <xdr:cNvPr id="277" name="Text Box 87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2052638" y="39941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8</xdr:col>
      <xdr:colOff>344488</xdr:colOff>
      <xdr:row>32</xdr:row>
      <xdr:rowOff>61912</xdr:rowOff>
    </xdr:from>
    <xdr:to>
      <xdr:col>8</xdr:col>
      <xdr:colOff>633413</xdr:colOff>
      <xdr:row>32</xdr:row>
      <xdr:rowOff>61912</xdr:rowOff>
    </xdr:to>
    <xdr:sp macro="" textlink="">
      <xdr:nvSpPr>
        <xdr:cNvPr id="278" name="Line 88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6516688" y="4348162"/>
          <a:ext cx="288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8</xdr:col>
      <xdr:colOff>200025</xdr:colOff>
      <xdr:row>30</xdr:row>
      <xdr:rowOff>44450</xdr:rowOff>
    </xdr:from>
    <xdr:to>
      <xdr:col>9</xdr:col>
      <xdr:colOff>41275</xdr:colOff>
      <xdr:row>32</xdr:row>
      <xdr:rowOff>68262</xdr:rowOff>
    </xdr:to>
    <xdr:sp macro="" textlink="">
      <xdr:nvSpPr>
        <xdr:cNvPr id="279" name="Text Box 89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6372225" y="398780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5</xdr:col>
      <xdr:colOff>444500</xdr:colOff>
      <xdr:row>15</xdr:row>
      <xdr:rowOff>50800</xdr:rowOff>
    </xdr:from>
    <xdr:to>
      <xdr:col>5</xdr:col>
      <xdr:colOff>457200</xdr:colOff>
      <xdr:row>23</xdr:row>
      <xdr:rowOff>20637</xdr:rowOff>
    </xdr:to>
    <xdr:sp macro="" textlink="">
      <xdr:nvSpPr>
        <xdr:cNvPr id="280" name="Line 90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SpPr>
          <a:spLocks noChangeShapeType="1"/>
        </xdr:cNvSpPr>
      </xdr:nvSpPr>
      <xdr:spPr bwMode="auto">
        <a:xfrm>
          <a:off x="3670300" y="1295400"/>
          <a:ext cx="12700" cy="1392237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439738</xdr:colOff>
      <xdr:row>28</xdr:row>
      <xdr:rowOff>26987</xdr:rowOff>
    </xdr:from>
    <xdr:to>
      <xdr:col>5</xdr:col>
      <xdr:colOff>457200</xdr:colOff>
      <xdr:row>39</xdr:row>
      <xdr:rowOff>157162</xdr:rowOff>
    </xdr:to>
    <xdr:sp macro="" textlink="">
      <xdr:nvSpPr>
        <xdr:cNvPr id="281" name="Line 91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SpPr>
          <a:spLocks noChangeShapeType="1"/>
        </xdr:cNvSpPr>
      </xdr:nvSpPr>
      <xdr:spPr bwMode="auto">
        <a:xfrm flipH="1">
          <a:off x="4554538" y="3627437"/>
          <a:ext cx="17462" cy="2016125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176213</xdr:colOff>
      <xdr:row>25</xdr:row>
      <xdr:rowOff>109537</xdr:rowOff>
    </xdr:from>
    <xdr:to>
      <xdr:col>5</xdr:col>
      <xdr:colOff>25400</xdr:colOff>
      <xdr:row>25</xdr:row>
      <xdr:rowOff>109537</xdr:rowOff>
    </xdr:to>
    <xdr:sp macro="" textlink="">
      <xdr:nvSpPr>
        <xdr:cNvPr id="282" name="Line 92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SpPr>
          <a:spLocks noChangeShapeType="1"/>
        </xdr:cNvSpPr>
      </xdr:nvSpPr>
      <xdr:spPr bwMode="auto">
        <a:xfrm rot="5400000" flipV="1">
          <a:off x="2844007" y="1899443"/>
          <a:ext cx="0" cy="2592387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25</xdr:row>
      <xdr:rowOff>109537</xdr:rowOff>
    </xdr:from>
    <xdr:to>
      <xdr:col>10</xdr:col>
      <xdr:colOff>53975</xdr:colOff>
      <xdr:row>25</xdr:row>
      <xdr:rowOff>109537</xdr:rowOff>
    </xdr:to>
    <xdr:sp macro="" textlink="">
      <xdr:nvSpPr>
        <xdr:cNvPr id="283" name="Line 93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SpPr>
          <a:spLocks noChangeShapeType="1"/>
        </xdr:cNvSpPr>
      </xdr:nvSpPr>
      <xdr:spPr bwMode="auto">
        <a:xfrm rot="5400000" flipV="1">
          <a:off x="6301582" y="1899443"/>
          <a:ext cx="0" cy="2592387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673100</xdr:colOff>
      <xdr:row>11</xdr:row>
      <xdr:rowOff>133350</xdr:rowOff>
    </xdr:from>
    <xdr:to>
      <xdr:col>5</xdr:col>
      <xdr:colOff>673100</xdr:colOff>
      <xdr:row>23</xdr:row>
      <xdr:rowOff>20637</xdr:rowOff>
    </xdr:to>
    <xdr:sp macro="" textlink="">
      <xdr:nvSpPr>
        <xdr:cNvPr id="284" name="Line 94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SpPr>
          <a:spLocks noChangeShapeType="1"/>
        </xdr:cNvSpPr>
      </xdr:nvSpPr>
      <xdr:spPr bwMode="auto">
        <a:xfrm flipH="1">
          <a:off x="4787900" y="819150"/>
          <a:ext cx="0" cy="1944687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241300</xdr:colOff>
      <xdr:row>11</xdr:row>
      <xdr:rowOff>133350</xdr:rowOff>
    </xdr:from>
    <xdr:to>
      <xdr:col>5</xdr:col>
      <xdr:colOff>258763</xdr:colOff>
      <xdr:row>23</xdr:row>
      <xdr:rowOff>20637</xdr:rowOff>
    </xdr:to>
    <xdr:sp macro="" textlink="">
      <xdr:nvSpPr>
        <xdr:cNvPr id="285" name="Line 95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SpPr>
          <a:spLocks noChangeShapeType="1"/>
        </xdr:cNvSpPr>
      </xdr:nvSpPr>
      <xdr:spPr bwMode="auto">
        <a:xfrm flipH="1">
          <a:off x="4356100" y="819150"/>
          <a:ext cx="17463" cy="1944687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673100</xdr:colOff>
      <xdr:row>28</xdr:row>
      <xdr:rowOff>26987</xdr:rowOff>
    </xdr:from>
    <xdr:to>
      <xdr:col>5</xdr:col>
      <xdr:colOff>674688</xdr:colOff>
      <xdr:row>40</xdr:row>
      <xdr:rowOff>57150</xdr:rowOff>
    </xdr:to>
    <xdr:sp macro="" textlink="">
      <xdr:nvSpPr>
        <xdr:cNvPr id="286" name="Line 96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SpPr>
          <a:spLocks noChangeShapeType="1"/>
        </xdr:cNvSpPr>
      </xdr:nvSpPr>
      <xdr:spPr bwMode="auto">
        <a:xfrm flipH="1">
          <a:off x="4787900" y="3627437"/>
          <a:ext cx="1588" cy="2087563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241300</xdr:colOff>
      <xdr:row>28</xdr:row>
      <xdr:rowOff>26987</xdr:rowOff>
    </xdr:from>
    <xdr:to>
      <xdr:col>5</xdr:col>
      <xdr:colOff>242888</xdr:colOff>
      <xdr:row>39</xdr:row>
      <xdr:rowOff>157162</xdr:rowOff>
    </xdr:to>
    <xdr:sp macro="" textlink="">
      <xdr:nvSpPr>
        <xdr:cNvPr id="287" name="Line 97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SpPr>
          <a:spLocks noChangeShapeType="1"/>
        </xdr:cNvSpPr>
      </xdr:nvSpPr>
      <xdr:spPr bwMode="auto">
        <a:xfrm flipH="1">
          <a:off x="4356100" y="3627437"/>
          <a:ext cx="1588" cy="201612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176213</xdr:colOff>
      <xdr:row>26</xdr:row>
      <xdr:rowOff>153987</xdr:rowOff>
    </xdr:from>
    <xdr:to>
      <xdr:col>5</xdr:col>
      <xdr:colOff>25400</xdr:colOff>
      <xdr:row>26</xdr:row>
      <xdr:rowOff>153987</xdr:rowOff>
    </xdr:to>
    <xdr:sp macro="" textlink="">
      <xdr:nvSpPr>
        <xdr:cNvPr id="288" name="Line 98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>
          <a:spLocks noChangeShapeType="1"/>
        </xdr:cNvSpPr>
      </xdr:nvSpPr>
      <xdr:spPr bwMode="auto">
        <a:xfrm rot="16200000">
          <a:off x="2844007" y="2115343"/>
          <a:ext cx="0" cy="2592387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176213</xdr:colOff>
      <xdr:row>24</xdr:row>
      <xdr:rowOff>65087</xdr:rowOff>
    </xdr:from>
    <xdr:to>
      <xdr:col>5</xdr:col>
      <xdr:colOff>25400</xdr:colOff>
      <xdr:row>24</xdr:row>
      <xdr:rowOff>65087</xdr:rowOff>
    </xdr:to>
    <xdr:sp macro="" textlink="">
      <xdr:nvSpPr>
        <xdr:cNvPr id="289" name="Line 99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SpPr>
          <a:spLocks noChangeShapeType="1"/>
        </xdr:cNvSpPr>
      </xdr:nvSpPr>
      <xdr:spPr bwMode="auto">
        <a:xfrm rot="16200000">
          <a:off x="2844007" y="1683543"/>
          <a:ext cx="0" cy="2592387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26</xdr:row>
      <xdr:rowOff>153987</xdr:rowOff>
    </xdr:from>
    <xdr:to>
      <xdr:col>10</xdr:col>
      <xdr:colOff>53975</xdr:colOff>
      <xdr:row>26</xdr:row>
      <xdr:rowOff>153987</xdr:rowOff>
    </xdr:to>
    <xdr:sp macro="" textlink="">
      <xdr:nvSpPr>
        <xdr:cNvPr id="290" name="Line 100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>
          <a:spLocks noChangeShapeType="1"/>
        </xdr:cNvSpPr>
      </xdr:nvSpPr>
      <xdr:spPr bwMode="auto">
        <a:xfrm rot="16200000">
          <a:off x="6301582" y="2115343"/>
          <a:ext cx="0" cy="2592387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24</xdr:row>
      <xdr:rowOff>65087</xdr:rowOff>
    </xdr:from>
    <xdr:to>
      <xdr:col>10</xdr:col>
      <xdr:colOff>53975</xdr:colOff>
      <xdr:row>24</xdr:row>
      <xdr:rowOff>65087</xdr:rowOff>
    </xdr:to>
    <xdr:sp macro="" textlink="">
      <xdr:nvSpPr>
        <xdr:cNvPr id="291" name="Line 101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SpPr>
          <a:spLocks noChangeShapeType="1"/>
        </xdr:cNvSpPr>
      </xdr:nvSpPr>
      <xdr:spPr bwMode="auto">
        <a:xfrm rot="16200000">
          <a:off x="6301582" y="1683543"/>
          <a:ext cx="0" cy="2592387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360363</xdr:colOff>
      <xdr:row>24</xdr:row>
      <xdr:rowOff>39687</xdr:rowOff>
    </xdr:from>
    <xdr:to>
      <xdr:col>1</xdr:col>
      <xdr:colOff>66675</xdr:colOff>
      <xdr:row>26</xdr:row>
      <xdr:rowOff>163512</xdr:rowOff>
    </xdr:to>
    <xdr:sp macro="" textlink="">
      <xdr:nvSpPr>
        <xdr:cNvPr id="292" name="Text Box 107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046163" y="2954337"/>
          <a:ext cx="392112" cy="466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ja-JP" altLang="en-US" sz="2400"/>
            <a:t>１</a:t>
          </a:r>
        </a:p>
      </xdr:txBody>
    </xdr:sp>
    <xdr:clientData/>
  </xdr:twoCellAnchor>
  <xdr:twoCellAnchor>
    <xdr:from>
      <xdr:col>10</xdr:col>
      <xdr:colOff>53975</xdr:colOff>
      <xdr:row>24</xdr:row>
      <xdr:rowOff>39687</xdr:rowOff>
    </xdr:from>
    <xdr:to>
      <xdr:col>10</xdr:col>
      <xdr:colOff>446088</xdr:colOff>
      <xdr:row>26</xdr:row>
      <xdr:rowOff>163512</xdr:rowOff>
    </xdr:to>
    <xdr:sp macro="" textlink="">
      <xdr:nvSpPr>
        <xdr:cNvPr id="293" name="Text Box 108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7597775" y="2954337"/>
          <a:ext cx="392113" cy="466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ja-JP" altLang="en-US" sz="2400"/>
            <a:t>３</a:t>
          </a:r>
        </a:p>
      </xdr:txBody>
    </xdr:sp>
    <xdr:clientData/>
  </xdr:twoCellAnchor>
  <xdr:twoCellAnchor>
    <xdr:from>
      <xdr:col>5</xdr:col>
      <xdr:colOff>242888</xdr:colOff>
      <xdr:row>12</xdr:row>
      <xdr:rowOff>139700</xdr:rowOff>
    </xdr:from>
    <xdr:to>
      <xdr:col>5</xdr:col>
      <xdr:colOff>625475</xdr:colOff>
      <xdr:row>15</xdr:row>
      <xdr:rowOff>85725</xdr:rowOff>
    </xdr:to>
    <xdr:sp macro="" textlink="">
      <xdr:nvSpPr>
        <xdr:cNvPr id="294" name="Text Box 109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3468688" y="850900"/>
          <a:ext cx="382587" cy="479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ja-JP" altLang="en-US" sz="2400"/>
            <a:t>４</a:t>
          </a:r>
        </a:p>
      </xdr:txBody>
    </xdr:sp>
    <xdr:clientData/>
  </xdr:twoCellAnchor>
  <xdr:twoCellAnchor>
    <xdr:from>
      <xdr:col>5</xdr:col>
      <xdr:colOff>242888</xdr:colOff>
      <xdr:row>40</xdr:row>
      <xdr:rowOff>57150</xdr:rowOff>
    </xdr:from>
    <xdr:to>
      <xdr:col>5</xdr:col>
      <xdr:colOff>635000</xdr:colOff>
      <xdr:row>43</xdr:row>
      <xdr:rowOff>9525</xdr:rowOff>
    </xdr:to>
    <xdr:sp macro="" textlink="">
      <xdr:nvSpPr>
        <xdr:cNvPr id="295" name="Text Box 110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4357688" y="5715000"/>
          <a:ext cx="392112" cy="466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ja-JP" altLang="en-US" sz="2400"/>
            <a:t>５</a:t>
          </a:r>
        </a:p>
      </xdr:txBody>
    </xdr:sp>
    <xdr:clientData/>
  </xdr:twoCellAnchor>
  <xdr:twoCellAnchor>
    <xdr:from>
      <xdr:col>5</xdr:col>
      <xdr:colOff>282575</xdr:colOff>
      <xdr:row>24</xdr:row>
      <xdr:rowOff>30162</xdr:rowOff>
    </xdr:from>
    <xdr:to>
      <xdr:col>5</xdr:col>
      <xdr:colOff>674688</xdr:colOff>
      <xdr:row>26</xdr:row>
      <xdr:rowOff>153987</xdr:rowOff>
    </xdr:to>
    <xdr:sp macro="" textlink="">
      <xdr:nvSpPr>
        <xdr:cNvPr id="296" name="Text Box 107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4397375" y="2944812"/>
          <a:ext cx="392113" cy="466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/>
          <a:r>
            <a:rPr lang="en-US" altLang="ja-JP" sz="2400"/>
            <a:t>2</a:t>
          </a:r>
          <a:endParaRPr lang="ja-JP" altLang="en-US" sz="2400"/>
        </a:p>
      </xdr:txBody>
    </xdr:sp>
    <xdr:clientData/>
  </xdr:twoCellAnchor>
  <xdr:twoCellAnchor>
    <xdr:from>
      <xdr:col>1</xdr:col>
      <xdr:colOff>106363</xdr:colOff>
      <xdr:row>17</xdr:row>
      <xdr:rowOff>41275</xdr:rowOff>
    </xdr:from>
    <xdr:to>
      <xdr:col>1</xdr:col>
      <xdr:colOff>106363</xdr:colOff>
      <xdr:row>41</xdr:row>
      <xdr:rowOff>103187</xdr:rowOff>
    </xdr:to>
    <xdr:sp macro="" textlink="">
      <xdr:nvSpPr>
        <xdr:cNvPr id="297" name="Line 57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SpPr>
          <a:spLocks noChangeShapeType="1"/>
        </xdr:cNvSpPr>
      </xdr:nvSpPr>
      <xdr:spPr bwMode="auto">
        <a:xfrm>
          <a:off x="1477963" y="1755775"/>
          <a:ext cx="0" cy="4176712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498475</xdr:colOff>
      <xdr:row>13</xdr:row>
      <xdr:rowOff>95250</xdr:rowOff>
    </xdr:from>
    <xdr:to>
      <xdr:col>1</xdr:col>
      <xdr:colOff>271463</xdr:colOff>
      <xdr:row>18</xdr:row>
      <xdr:rowOff>15875</xdr:rowOff>
    </xdr:to>
    <xdr:sp macro="" textlink="">
      <xdr:nvSpPr>
        <xdr:cNvPr id="298" name="Text Box 58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498475" y="1638300"/>
          <a:ext cx="449263" cy="777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r>
            <a:rPr lang="ja-JP" altLang="en-US"/>
            <a:t>基準線</a:t>
          </a:r>
        </a:p>
      </xdr:txBody>
    </xdr:sp>
    <xdr:clientData/>
  </xdr:twoCellAnchor>
  <xdr:twoCellAnchor>
    <xdr:from>
      <xdr:col>1</xdr:col>
      <xdr:colOff>106363</xdr:colOff>
      <xdr:row>37</xdr:row>
      <xdr:rowOff>139700</xdr:rowOff>
    </xdr:from>
    <xdr:to>
      <xdr:col>2</xdr:col>
      <xdr:colOff>357188</xdr:colOff>
      <xdr:row>37</xdr:row>
      <xdr:rowOff>139700</xdr:rowOff>
    </xdr:to>
    <xdr:sp macro="" textlink="">
      <xdr:nvSpPr>
        <xdr:cNvPr id="300" name="Line 86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1477963" y="5283200"/>
          <a:ext cx="936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106363</xdr:colOff>
      <xdr:row>39</xdr:row>
      <xdr:rowOff>12700</xdr:rowOff>
    </xdr:from>
    <xdr:to>
      <xdr:col>8</xdr:col>
      <xdr:colOff>346075</xdr:colOff>
      <xdr:row>39</xdr:row>
      <xdr:rowOff>12700</xdr:rowOff>
    </xdr:to>
    <xdr:sp macro="" textlink="">
      <xdr:nvSpPr>
        <xdr:cNvPr id="302" name="Line 86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1477963" y="5499100"/>
          <a:ext cx="5040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5pPr>
          <a:lvl6pPr marL="22860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6pPr>
          <a:lvl7pPr marL="27432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7pPr>
          <a:lvl8pPr marL="32004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8pPr>
          <a:lvl9pPr marL="3657600" algn="l" defTabSz="914400" rtl="0" eaLnBrk="1" latinLnBrk="0" hangingPunct="1">
            <a:defRPr kumimoji="1" kern="1200">
              <a:solidFill>
                <a:srgbClr val="000000"/>
              </a:solidFill>
              <a:latin typeface="Arial" charset="0"/>
              <a:ea typeface="ＭＳ Ｐゴシック" pitchFamily="50" charset="-128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311150</xdr:colOff>
      <xdr:row>108</xdr:row>
      <xdr:rowOff>136525</xdr:rowOff>
    </xdr:from>
    <xdr:to>
      <xdr:col>17</xdr:col>
      <xdr:colOff>600075</xdr:colOff>
      <xdr:row>110</xdr:row>
      <xdr:rowOff>61912</xdr:rowOff>
    </xdr:to>
    <xdr:sp macro="" textlink="">
      <xdr:nvSpPr>
        <xdr:cNvPr id="304" name="Rectangle 14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SpPr>
          <a:spLocks noChangeArrowheads="1"/>
        </xdr:cNvSpPr>
      </xdr:nvSpPr>
      <xdr:spPr bwMode="auto">
        <a:xfrm rot="18953430" flipH="1">
          <a:off x="3740150" y="9051925"/>
          <a:ext cx="288925" cy="268287"/>
        </a:xfrm>
        <a:prstGeom prst="rect">
          <a:avLst/>
        </a:prstGeom>
        <a:noFill/>
        <a:ln w="9525">
          <a:solidFill>
            <a:schemeClr val="tx1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13</xdr:col>
      <xdr:colOff>106363</xdr:colOff>
      <xdr:row>107</xdr:row>
      <xdr:rowOff>20637</xdr:rowOff>
    </xdr:from>
    <xdr:to>
      <xdr:col>16</xdr:col>
      <xdr:colOff>566738</xdr:colOff>
      <xdr:row>107</xdr:row>
      <xdr:rowOff>20637</xdr:rowOff>
    </xdr:to>
    <xdr:sp macro="" textlink="">
      <xdr:nvSpPr>
        <xdr:cNvPr id="305" name="Line 15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SpPr>
          <a:spLocks noChangeShapeType="1"/>
        </xdr:cNvSpPr>
      </xdr:nvSpPr>
      <xdr:spPr bwMode="auto">
        <a:xfrm>
          <a:off x="792163" y="87645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347663</xdr:colOff>
      <xdr:row>107</xdr:row>
      <xdr:rowOff>20637</xdr:rowOff>
    </xdr:from>
    <xdr:to>
      <xdr:col>22</xdr:col>
      <xdr:colOff>53975</xdr:colOff>
      <xdr:row>107</xdr:row>
      <xdr:rowOff>20637</xdr:rowOff>
    </xdr:to>
    <xdr:sp macro="" textlink="">
      <xdr:nvSpPr>
        <xdr:cNvPr id="306" name="Line 16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SpPr>
          <a:spLocks noChangeShapeType="1"/>
        </xdr:cNvSpPr>
      </xdr:nvSpPr>
      <xdr:spPr bwMode="auto">
        <a:xfrm>
          <a:off x="4462463" y="87645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93</xdr:row>
      <xdr:rowOff>44450</xdr:rowOff>
    </xdr:from>
    <xdr:to>
      <xdr:col>18</xdr:col>
      <xdr:colOff>203200</xdr:colOff>
      <xdr:row>106</xdr:row>
      <xdr:rowOff>47625</xdr:rowOff>
    </xdr:to>
    <xdr:sp macro="" textlink="">
      <xdr:nvSpPr>
        <xdr:cNvPr id="307" name="Line 17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SpPr>
          <a:spLocks noChangeShapeType="1"/>
        </xdr:cNvSpPr>
      </xdr:nvSpPr>
      <xdr:spPr bwMode="auto">
        <a:xfrm rot="16200000">
          <a:off x="3201987" y="75041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25400</xdr:colOff>
      <xdr:row>93</xdr:row>
      <xdr:rowOff>44450</xdr:rowOff>
    </xdr:from>
    <xdr:to>
      <xdr:col>17</xdr:col>
      <xdr:colOff>25400</xdr:colOff>
      <xdr:row>106</xdr:row>
      <xdr:rowOff>47625</xdr:rowOff>
    </xdr:to>
    <xdr:sp macro="" textlink="">
      <xdr:nvSpPr>
        <xdr:cNvPr id="308" name="Line 18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SpPr>
          <a:spLocks noChangeShapeType="1"/>
        </xdr:cNvSpPr>
      </xdr:nvSpPr>
      <xdr:spPr bwMode="auto">
        <a:xfrm rot="16200000">
          <a:off x="2338387" y="75041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16</xdr:col>
      <xdr:colOff>568325</xdr:colOff>
      <xdr:row>106</xdr:row>
      <xdr:rowOff>47625</xdr:rowOff>
    </xdr:from>
    <xdr:to>
      <xdr:col>17</xdr:col>
      <xdr:colOff>25400</xdr:colOff>
      <xdr:row>107</xdr:row>
      <xdr:rowOff>20637</xdr:rowOff>
    </xdr:to>
    <xdr:sp macro="" textlink="">
      <xdr:nvSpPr>
        <xdr:cNvPr id="309" name="Arc 19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SpPr>
          <a:spLocks/>
        </xdr:cNvSpPr>
      </xdr:nvSpPr>
      <xdr:spPr bwMode="auto">
        <a:xfrm rot="5400000">
          <a:off x="3310732" y="86209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204788</xdr:colOff>
      <xdr:row>106</xdr:row>
      <xdr:rowOff>47625</xdr:rowOff>
    </xdr:from>
    <xdr:to>
      <xdr:col>18</xdr:col>
      <xdr:colOff>347663</xdr:colOff>
      <xdr:row>107</xdr:row>
      <xdr:rowOff>20637</xdr:rowOff>
    </xdr:to>
    <xdr:sp macro="" textlink="">
      <xdr:nvSpPr>
        <xdr:cNvPr id="310" name="Arc 20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SpPr>
          <a:spLocks/>
        </xdr:cNvSpPr>
      </xdr:nvSpPr>
      <xdr:spPr bwMode="auto">
        <a:xfrm rot="16200000" flipH="1">
          <a:off x="4318795" y="86209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112</xdr:row>
      <xdr:rowOff>28575</xdr:rowOff>
    </xdr:from>
    <xdr:to>
      <xdr:col>18</xdr:col>
      <xdr:colOff>347663</xdr:colOff>
      <xdr:row>113</xdr:row>
      <xdr:rowOff>0</xdr:rowOff>
    </xdr:to>
    <xdr:sp macro="" textlink="">
      <xdr:nvSpPr>
        <xdr:cNvPr id="311" name="Arc 21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SpPr>
          <a:spLocks/>
        </xdr:cNvSpPr>
      </xdr:nvSpPr>
      <xdr:spPr bwMode="auto">
        <a:xfrm flipH="1">
          <a:off x="4318000" y="9629775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16</xdr:col>
      <xdr:colOff>568325</xdr:colOff>
      <xdr:row>112</xdr:row>
      <xdr:rowOff>26987</xdr:rowOff>
    </xdr:from>
    <xdr:to>
      <xdr:col>17</xdr:col>
      <xdr:colOff>25400</xdr:colOff>
      <xdr:row>113</xdr:row>
      <xdr:rowOff>0</xdr:rowOff>
    </xdr:to>
    <xdr:sp macro="" textlink="">
      <xdr:nvSpPr>
        <xdr:cNvPr id="312" name="Arc 22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SpPr>
          <a:spLocks/>
        </xdr:cNvSpPr>
      </xdr:nvSpPr>
      <xdr:spPr bwMode="auto">
        <a:xfrm rot="5400000" flipH="1">
          <a:off x="3310731" y="9628981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107950</xdr:colOff>
      <xdr:row>112</xdr:row>
      <xdr:rowOff>26987</xdr:rowOff>
    </xdr:from>
    <xdr:to>
      <xdr:col>16</xdr:col>
      <xdr:colOff>568325</xdr:colOff>
      <xdr:row>112</xdr:row>
      <xdr:rowOff>26987</xdr:rowOff>
    </xdr:to>
    <xdr:sp macro="" textlink="">
      <xdr:nvSpPr>
        <xdr:cNvPr id="313" name="Line 23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SpPr>
          <a:spLocks noChangeShapeType="1"/>
        </xdr:cNvSpPr>
      </xdr:nvSpPr>
      <xdr:spPr bwMode="auto">
        <a:xfrm>
          <a:off x="793750" y="96281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347663</xdr:colOff>
      <xdr:row>112</xdr:row>
      <xdr:rowOff>26987</xdr:rowOff>
    </xdr:from>
    <xdr:to>
      <xdr:col>22</xdr:col>
      <xdr:colOff>53975</xdr:colOff>
      <xdr:row>112</xdr:row>
      <xdr:rowOff>26987</xdr:rowOff>
    </xdr:to>
    <xdr:sp macro="" textlink="">
      <xdr:nvSpPr>
        <xdr:cNvPr id="314" name="Line 24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SpPr>
          <a:spLocks noChangeShapeType="1"/>
        </xdr:cNvSpPr>
      </xdr:nvSpPr>
      <xdr:spPr bwMode="auto">
        <a:xfrm>
          <a:off x="4462463" y="96281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113</xdr:row>
      <xdr:rowOff>0</xdr:rowOff>
    </xdr:from>
    <xdr:to>
      <xdr:col>18</xdr:col>
      <xdr:colOff>203200</xdr:colOff>
      <xdr:row>126</xdr:row>
      <xdr:rowOff>3175</xdr:rowOff>
    </xdr:to>
    <xdr:sp macro="" textlink="">
      <xdr:nvSpPr>
        <xdr:cNvPr id="315" name="Line 25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SpPr>
          <a:spLocks noChangeShapeType="1"/>
        </xdr:cNvSpPr>
      </xdr:nvSpPr>
      <xdr:spPr bwMode="auto">
        <a:xfrm rot="5400000" flipH="1">
          <a:off x="3201987" y="108886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25400</xdr:colOff>
      <xdr:row>113</xdr:row>
      <xdr:rowOff>0</xdr:rowOff>
    </xdr:from>
    <xdr:to>
      <xdr:col>17</xdr:col>
      <xdr:colOff>25400</xdr:colOff>
      <xdr:row>126</xdr:row>
      <xdr:rowOff>3175</xdr:rowOff>
    </xdr:to>
    <xdr:sp macro="" textlink="">
      <xdr:nvSpPr>
        <xdr:cNvPr id="316" name="Line 26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SpPr>
          <a:spLocks noChangeShapeType="1"/>
        </xdr:cNvSpPr>
      </xdr:nvSpPr>
      <xdr:spPr bwMode="auto">
        <a:xfrm rot="16200000" flipV="1">
          <a:off x="2338387" y="108886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106363</xdr:colOff>
      <xdr:row>113</xdr:row>
      <xdr:rowOff>144462</xdr:rowOff>
    </xdr:from>
    <xdr:to>
      <xdr:col>17</xdr:col>
      <xdr:colOff>26988</xdr:colOff>
      <xdr:row>113</xdr:row>
      <xdr:rowOff>144462</xdr:rowOff>
    </xdr:to>
    <xdr:sp macro="" textlink="">
      <xdr:nvSpPr>
        <xdr:cNvPr id="317" name="Line 31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SpPr>
          <a:spLocks noChangeShapeType="1"/>
        </xdr:cNvSpPr>
      </xdr:nvSpPr>
      <xdr:spPr bwMode="auto">
        <a:xfrm>
          <a:off x="792163" y="9917112"/>
          <a:ext cx="26638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113</xdr:row>
      <xdr:rowOff>144462</xdr:rowOff>
    </xdr:from>
    <xdr:to>
      <xdr:col>22</xdr:col>
      <xdr:colOff>53975</xdr:colOff>
      <xdr:row>113</xdr:row>
      <xdr:rowOff>144462</xdr:rowOff>
    </xdr:to>
    <xdr:sp macro="" textlink="">
      <xdr:nvSpPr>
        <xdr:cNvPr id="318" name="Line 33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SpPr>
          <a:spLocks noChangeShapeType="1"/>
        </xdr:cNvSpPr>
      </xdr:nvSpPr>
      <xdr:spPr bwMode="auto">
        <a:xfrm>
          <a:off x="4318000" y="9917112"/>
          <a:ext cx="259397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369348</xdr:colOff>
      <xdr:row>118</xdr:row>
      <xdr:rowOff>152400</xdr:rowOff>
    </xdr:from>
    <xdr:to>
      <xdr:col>19</xdr:col>
      <xdr:colOff>10065</xdr:colOff>
      <xdr:row>122</xdr:row>
      <xdr:rowOff>112712</xdr:rowOff>
    </xdr:to>
    <xdr:sp macro="" textlink="">
      <xdr:nvSpPr>
        <xdr:cNvPr id="319" name="Text Box 34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SpPr txBox="1">
          <a:spLocks noChangeArrowheads="1"/>
        </xdr:cNvSpPr>
      </xdr:nvSpPr>
      <xdr:spPr bwMode="auto">
        <a:xfrm rot="16200000">
          <a:off x="4032251" y="11907297"/>
          <a:ext cx="6715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312m</a:t>
          </a:r>
        </a:p>
      </xdr:txBody>
    </xdr:sp>
    <xdr:clientData/>
  </xdr:twoCellAnchor>
  <xdr:twoCellAnchor>
    <xdr:from>
      <xdr:col>19</xdr:col>
      <xdr:colOff>487363</xdr:colOff>
      <xdr:row>112</xdr:row>
      <xdr:rowOff>20637</xdr:rowOff>
    </xdr:from>
    <xdr:to>
      <xdr:col>20</xdr:col>
      <xdr:colOff>447675</xdr:colOff>
      <xdr:row>113</xdr:row>
      <xdr:rowOff>118554</xdr:rowOff>
    </xdr:to>
    <xdr:sp macro="" textlink="">
      <xdr:nvSpPr>
        <xdr:cNvPr id="320" name="Text Box 36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4983163" y="10510837"/>
          <a:ext cx="5953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543m</a:t>
          </a:r>
        </a:p>
      </xdr:txBody>
    </xdr:sp>
    <xdr:clientData/>
  </xdr:twoCellAnchor>
  <xdr:twoCellAnchor>
    <xdr:from>
      <xdr:col>19</xdr:col>
      <xdr:colOff>22225</xdr:colOff>
      <xdr:row>112</xdr:row>
      <xdr:rowOff>26987</xdr:rowOff>
    </xdr:from>
    <xdr:to>
      <xdr:col>19</xdr:col>
      <xdr:colOff>22225</xdr:colOff>
      <xdr:row>126</xdr:row>
      <xdr:rowOff>3175</xdr:rowOff>
    </xdr:to>
    <xdr:sp macro="" textlink="">
      <xdr:nvSpPr>
        <xdr:cNvPr id="321" name="Line 37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SpPr>
          <a:spLocks noChangeShapeType="1"/>
        </xdr:cNvSpPr>
      </xdr:nvSpPr>
      <xdr:spPr bwMode="auto">
        <a:xfrm rot="5400000">
          <a:off x="3634581" y="10816431"/>
          <a:ext cx="237648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19</xdr:col>
      <xdr:colOff>22225</xdr:colOff>
      <xdr:row>93</xdr:row>
      <xdr:rowOff>44450</xdr:rowOff>
    </xdr:from>
    <xdr:to>
      <xdr:col>19</xdr:col>
      <xdr:colOff>31750</xdr:colOff>
      <xdr:row>107</xdr:row>
      <xdr:rowOff>20637</xdr:rowOff>
    </xdr:to>
    <xdr:sp macro="" textlink="">
      <xdr:nvSpPr>
        <xdr:cNvPr id="322" name="Line 38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SpPr>
          <a:spLocks noChangeShapeType="1"/>
        </xdr:cNvSpPr>
      </xdr:nvSpPr>
      <xdr:spPr bwMode="auto">
        <a:xfrm rot="5400000">
          <a:off x="3639344" y="7571581"/>
          <a:ext cx="2376487" cy="9525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369348</xdr:colOff>
      <xdr:row>99</xdr:row>
      <xdr:rowOff>147637</xdr:rowOff>
    </xdr:from>
    <xdr:to>
      <xdr:col>19</xdr:col>
      <xdr:colOff>10065</xdr:colOff>
      <xdr:row>103</xdr:row>
      <xdr:rowOff>109537</xdr:rowOff>
    </xdr:to>
    <xdr:sp macro="" textlink="">
      <xdr:nvSpPr>
        <xdr:cNvPr id="323" name="Text Box 39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SpPr txBox="1">
          <a:spLocks noChangeArrowheads="1"/>
        </xdr:cNvSpPr>
      </xdr:nvSpPr>
      <xdr:spPr bwMode="auto">
        <a:xfrm rot="16200000">
          <a:off x="4031457" y="8525128"/>
          <a:ext cx="673100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250m</a:t>
          </a:r>
        </a:p>
      </xdr:txBody>
    </xdr:sp>
    <xdr:clientData/>
  </xdr:twoCellAnchor>
  <xdr:twoCellAnchor>
    <xdr:from>
      <xdr:col>14</xdr:col>
      <xdr:colOff>355600</xdr:colOff>
      <xdr:row>112</xdr:row>
      <xdr:rowOff>20637</xdr:rowOff>
    </xdr:from>
    <xdr:to>
      <xdr:col>15</xdr:col>
      <xdr:colOff>315913</xdr:colOff>
      <xdr:row>113</xdr:row>
      <xdr:rowOff>118554</xdr:rowOff>
    </xdr:to>
    <xdr:sp macro="" textlink="">
      <xdr:nvSpPr>
        <xdr:cNvPr id="324" name="Text Box 40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676400" y="10510837"/>
          <a:ext cx="595313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456m</a:t>
          </a:r>
        </a:p>
      </xdr:txBody>
    </xdr:sp>
    <xdr:clientData/>
  </xdr:twoCellAnchor>
  <xdr:twoCellAnchor>
    <xdr:from>
      <xdr:col>18</xdr:col>
      <xdr:colOff>347663</xdr:colOff>
      <xdr:row>107</xdr:row>
      <xdr:rowOff>92075</xdr:rowOff>
    </xdr:from>
    <xdr:to>
      <xdr:col>19</xdr:col>
      <xdr:colOff>28575</xdr:colOff>
      <xdr:row>111</xdr:row>
      <xdr:rowOff>53975</xdr:rowOff>
    </xdr:to>
    <xdr:sp macro="" textlink="">
      <xdr:nvSpPr>
        <xdr:cNvPr id="325" name="Text Box 64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SpPr txBox="1">
          <a:spLocks noChangeArrowheads="1"/>
        </xdr:cNvSpPr>
      </xdr:nvSpPr>
      <xdr:spPr bwMode="auto">
        <a:xfrm rot="16200000">
          <a:off x="4321969" y="8976519"/>
          <a:ext cx="64770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19</xdr:col>
      <xdr:colOff>22225</xdr:colOff>
      <xdr:row>107</xdr:row>
      <xdr:rowOff>20637</xdr:rowOff>
    </xdr:from>
    <xdr:to>
      <xdr:col>19</xdr:col>
      <xdr:colOff>22225</xdr:colOff>
      <xdr:row>112</xdr:row>
      <xdr:rowOff>26987</xdr:rowOff>
    </xdr:to>
    <xdr:sp macro="" textlink="">
      <xdr:nvSpPr>
        <xdr:cNvPr id="326" name="Line 65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SpPr>
          <a:spLocks noChangeShapeType="1"/>
        </xdr:cNvSpPr>
      </xdr:nvSpPr>
      <xdr:spPr bwMode="auto">
        <a:xfrm rot="5400000">
          <a:off x="4391025" y="9196387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20</xdr:col>
      <xdr:colOff>344488</xdr:colOff>
      <xdr:row>110</xdr:row>
      <xdr:rowOff>153987</xdr:rowOff>
    </xdr:from>
    <xdr:to>
      <xdr:col>20</xdr:col>
      <xdr:colOff>631825</xdr:colOff>
      <xdr:row>112</xdr:row>
      <xdr:rowOff>26987</xdr:rowOff>
    </xdr:to>
    <xdr:sp macro="" textlink="">
      <xdr:nvSpPr>
        <xdr:cNvPr id="327" name="Rectangle 76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SpPr>
          <a:spLocks noChangeArrowheads="1"/>
        </xdr:cNvSpPr>
      </xdr:nvSpPr>
      <xdr:spPr bwMode="auto">
        <a:xfrm>
          <a:off x="5830888" y="9412287"/>
          <a:ext cx="287337" cy="215900"/>
        </a:xfrm>
        <a:prstGeom prst="rect">
          <a:avLst/>
        </a:prstGeom>
        <a:solidFill>
          <a:srgbClr val="FF0066"/>
        </a:solidFill>
        <a:ln w="9525">
          <a:solidFill>
            <a:schemeClr val="bg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14</xdr:col>
      <xdr:colOff>427038</xdr:colOff>
      <xdr:row>116</xdr:row>
      <xdr:rowOff>55562</xdr:rowOff>
    </xdr:from>
    <xdr:to>
      <xdr:col>17</xdr:col>
      <xdr:colOff>25400</xdr:colOff>
      <xdr:row>116</xdr:row>
      <xdr:rowOff>61912</xdr:rowOff>
    </xdr:to>
    <xdr:sp macro="" textlink="">
      <xdr:nvSpPr>
        <xdr:cNvPr id="328" name="Line 79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1798638" y="10342562"/>
          <a:ext cx="1655762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25400</xdr:colOff>
      <xdr:row>116</xdr:row>
      <xdr:rowOff>55562</xdr:rowOff>
    </xdr:from>
    <xdr:to>
      <xdr:col>18</xdr:col>
      <xdr:colOff>203200</xdr:colOff>
      <xdr:row>116</xdr:row>
      <xdr:rowOff>55562</xdr:rowOff>
    </xdr:to>
    <xdr:sp macro="" textlink="">
      <xdr:nvSpPr>
        <xdr:cNvPr id="329" name="Line 80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SpPr>
          <a:spLocks noChangeShapeType="1"/>
        </xdr:cNvSpPr>
      </xdr:nvSpPr>
      <xdr:spPr bwMode="auto">
        <a:xfrm>
          <a:off x="3454400" y="10342562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116</xdr:row>
      <xdr:rowOff>55562</xdr:rowOff>
    </xdr:from>
    <xdr:to>
      <xdr:col>20</xdr:col>
      <xdr:colOff>344488</xdr:colOff>
      <xdr:row>116</xdr:row>
      <xdr:rowOff>61912</xdr:rowOff>
    </xdr:to>
    <xdr:sp macro="" textlink="">
      <xdr:nvSpPr>
        <xdr:cNvPr id="330" name="Line 81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SpPr>
          <a:spLocks noChangeShapeType="1"/>
        </xdr:cNvSpPr>
      </xdr:nvSpPr>
      <xdr:spPr bwMode="auto">
        <a:xfrm>
          <a:off x="4318000" y="10342562"/>
          <a:ext cx="1512888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176213</xdr:colOff>
      <xdr:row>114</xdr:row>
      <xdr:rowOff>44450</xdr:rowOff>
    </xdr:from>
    <xdr:to>
      <xdr:col>18</xdr:col>
      <xdr:colOff>17463</xdr:colOff>
      <xdr:row>116</xdr:row>
      <xdr:rowOff>68262</xdr:rowOff>
    </xdr:to>
    <xdr:sp macro="" textlink="">
      <xdr:nvSpPr>
        <xdr:cNvPr id="331" name="Text Box 82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3605213" y="99885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19</xdr:col>
      <xdr:colOff>103188</xdr:colOff>
      <xdr:row>114</xdr:row>
      <xdr:rowOff>44450</xdr:rowOff>
    </xdr:from>
    <xdr:to>
      <xdr:col>19</xdr:col>
      <xdr:colOff>630238</xdr:colOff>
      <xdr:row>116</xdr:row>
      <xdr:rowOff>68262</xdr:rowOff>
    </xdr:to>
    <xdr:sp macro="" textlink="">
      <xdr:nvSpPr>
        <xdr:cNvPr id="332" name="Text Box 83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4903788" y="99885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15</xdr:col>
      <xdr:colOff>173038</xdr:colOff>
      <xdr:row>114</xdr:row>
      <xdr:rowOff>44450</xdr:rowOff>
    </xdr:from>
    <xdr:to>
      <xdr:col>16</xdr:col>
      <xdr:colOff>14288</xdr:colOff>
      <xdr:row>116</xdr:row>
      <xdr:rowOff>68262</xdr:rowOff>
    </xdr:to>
    <xdr:sp macro="" textlink="">
      <xdr:nvSpPr>
        <xdr:cNvPr id="333" name="Text Box 84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2230438" y="99885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14</xdr:col>
      <xdr:colOff>139700</xdr:colOff>
      <xdr:row>116</xdr:row>
      <xdr:rowOff>61912</xdr:rowOff>
    </xdr:from>
    <xdr:to>
      <xdr:col>14</xdr:col>
      <xdr:colOff>427038</xdr:colOff>
      <xdr:row>116</xdr:row>
      <xdr:rowOff>61912</xdr:rowOff>
    </xdr:to>
    <xdr:sp macro="" textlink="">
      <xdr:nvSpPr>
        <xdr:cNvPr id="334" name="Line 86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1511300" y="10348912"/>
          <a:ext cx="28733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681038</xdr:colOff>
      <xdr:row>114</xdr:row>
      <xdr:rowOff>50800</xdr:rowOff>
    </xdr:from>
    <xdr:to>
      <xdr:col>14</xdr:col>
      <xdr:colOff>522288</xdr:colOff>
      <xdr:row>116</xdr:row>
      <xdr:rowOff>74612</xdr:rowOff>
    </xdr:to>
    <xdr:sp macro="" textlink="">
      <xdr:nvSpPr>
        <xdr:cNvPr id="335" name="Text Box 87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366838" y="999490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20</xdr:col>
      <xdr:colOff>344488</xdr:colOff>
      <xdr:row>116</xdr:row>
      <xdr:rowOff>61912</xdr:rowOff>
    </xdr:from>
    <xdr:to>
      <xdr:col>20</xdr:col>
      <xdr:colOff>633413</xdr:colOff>
      <xdr:row>116</xdr:row>
      <xdr:rowOff>61912</xdr:rowOff>
    </xdr:to>
    <xdr:sp macro="" textlink="">
      <xdr:nvSpPr>
        <xdr:cNvPr id="336" name="Line 88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5830888" y="10348912"/>
          <a:ext cx="2889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20</xdr:col>
      <xdr:colOff>200025</xdr:colOff>
      <xdr:row>114</xdr:row>
      <xdr:rowOff>44450</xdr:rowOff>
    </xdr:from>
    <xdr:to>
      <xdr:col>21</xdr:col>
      <xdr:colOff>41275</xdr:colOff>
      <xdr:row>116</xdr:row>
      <xdr:rowOff>68262</xdr:rowOff>
    </xdr:to>
    <xdr:sp macro="" textlink="">
      <xdr:nvSpPr>
        <xdr:cNvPr id="337" name="Text Box 89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5686425" y="99885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17</xdr:col>
      <xdr:colOff>457200</xdr:colOff>
      <xdr:row>97</xdr:row>
      <xdr:rowOff>76200</xdr:rowOff>
    </xdr:from>
    <xdr:to>
      <xdr:col>17</xdr:col>
      <xdr:colOff>457200</xdr:colOff>
      <xdr:row>107</xdr:row>
      <xdr:rowOff>20637</xdr:rowOff>
    </xdr:to>
    <xdr:sp macro="" textlink="">
      <xdr:nvSpPr>
        <xdr:cNvPr id="338" name="Line 90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SpPr>
          <a:spLocks noChangeShapeType="1"/>
        </xdr:cNvSpPr>
      </xdr:nvSpPr>
      <xdr:spPr bwMode="auto">
        <a:xfrm flipH="1">
          <a:off x="3683000" y="7899400"/>
          <a:ext cx="0" cy="172243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439738</xdr:colOff>
      <xdr:row>112</xdr:row>
      <xdr:rowOff>26987</xdr:rowOff>
    </xdr:from>
    <xdr:to>
      <xdr:col>17</xdr:col>
      <xdr:colOff>457200</xdr:colOff>
      <xdr:row>123</xdr:row>
      <xdr:rowOff>157162</xdr:rowOff>
    </xdr:to>
    <xdr:sp macro="" textlink="">
      <xdr:nvSpPr>
        <xdr:cNvPr id="339" name="Line 91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SpPr>
          <a:spLocks noChangeShapeType="1"/>
        </xdr:cNvSpPr>
      </xdr:nvSpPr>
      <xdr:spPr bwMode="auto">
        <a:xfrm flipH="1">
          <a:off x="3868738" y="9628187"/>
          <a:ext cx="17462" cy="2016125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176213</xdr:colOff>
      <xdr:row>109</xdr:row>
      <xdr:rowOff>109537</xdr:rowOff>
    </xdr:from>
    <xdr:to>
      <xdr:col>17</xdr:col>
      <xdr:colOff>25400</xdr:colOff>
      <xdr:row>109</xdr:row>
      <xdr:rowOff>109537</xdr:rowOff>
    </xdr:to>
    <xdr:sp macro="" textlink="">
      <xdr:nvSpPr>
        <xdr:cNvPr id="340" name="Line 92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SpPr>
          <a:spLocks noChangeShapeType="1"/>
        </xdr:cNvSpPr>
      </xdr:nvSpPr>
      <xdr:spPr bwMode="auto">
        <a:xfrm rot="5400000" flipV="1">
          <a:off x="2158207" y="79001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204788</xdr:colOff>
      <xdr:row>109</xdr:row>
      <xdr:rowOff>109537</xdr:rowOff>
    </xdr:from>
    <xdr:to>
      <xdr:col>22</xdr:col>
      <xdr:colOff>53975</xdr:colOff>
      <xdr:row>109</xdr:row>
      <xdr:rowOff>109537</xdr:rowOff>
    </xdr:to>
    <xdr:sp macro="" textlink="">
      <xdr:nvSpPr>
        <xdr:cNvPr id="341" name="Line 93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SpPr>
          <a:spLocks noChangeShapeType="1"/>
        </xdr:cNvSpPr>
      </xdr:nvSpPr>
      <xdr:spPr bwMode="auto">
        <a:xfrm rot="5400000" flipV="1">
          <a:off x="5615782" y="79001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673100</xdr:colOff>
      <xdr:row>95</xdr:row>
      <xdr:rowOff>133350</xdr:rowOff>
    </xdr:from>
    <xdr:to>
      <xdr:col>17</xdr:col>
      <xdr:colOff>673100</xdr:colOff>
      <xdr:row>107</xdr:row>
      <xdr:rowOff>20637</xdr:rowOff>
    </xdr:to>
    <xdr:sp macro="" textlink="">
      <xdr:nvSpPr>
        <xdr:cNvPr id="342" name="Line 94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SpPr>
          <a:spLocks noChangeShapeType="1"/>
        </xdr:cNvSpPr>
      </xdr:nvSpPr>
      <xdr:spPr bwMode="auto">
        <a:xfrm flipH="1">
          <a:off x="4102100" y="6819900"/>
          <a:ext cx="0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241300</xdr:colOff>
      <xdr:row>95</xdr:row>
      <xdr:rowOff>133350</xdr:rowOff>
    </xdr:from>
    <xdr:to>
      <xdr:col>17</xdr:col>
      <xdr:colOff>258763</xdr:colOff>
      <xdr:row>107</xdr:row>
      <xdr:rowOff>20637</xdr:rowOff>
    </xdr:to>
    <xdr:sp macro="" textlink="">
      <xdr:nvSpPr>
        <xdr:cNvPr id="343" name="Line 95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SpPr>
          <a:spLocks noChangeShapeType="1"/>
        </xdr:cNvSpPr>
      </xdr:nvSpPr>
      <xdr:spPr bwMode="auto">
        <a:xfrm flipH="1">
          <a:off x="3670300" y="6819900"/>
          <a:ext cx="17463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673100</xdr:colOff>
      <xdr:row>112</xdr:row>
      <xdr:rowOff>26987</xdr:rowOff>
    </xdr:from>
    <xdr:to>
      <xdr:col>17</xdr:col>
      <xdr:colOff>674688</xdr:colOff>
      <xdr:row>124</xdr:row>
      <xdr:rowOff>57150</xdr:rowOff>
    </xdr:to>
    <xdr:sp macro="" textlink="">
      <xdr:nvSpPr>
        <xdr:cNvPr id="344" name="Line 96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SpPr>
          <a:spLocks noChangeShapeType="1"/>
        </xdr:cNvSpPr>
      </xdr:nvSpPr>
      <xdr:spPr bwMode="auto">
        <a:xfrm flipH="1">
          <a:off x="4102100" y="9628187"/>
          <a:ext cx="1588" cy="2087563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241300</xdr:colOff>
      <xdr:row>112</xdr:row>
      <xdr:rowOff>26987</xdr:rowOff>
    </xdr:from>
    <xdr:to>
      <xdr:col>17</xdr:col>
      <xdr:colOff>242888</xdr:colOff>
      <xdr:row>123</xdr:row>
      <xdr:rowOff>157162</xdr:rowOff>
    </xdr:to>
    <xdr:sp macro="" textlink="">
      <xdr:nvSpPr>
        <xdr:cNvPr id="345" name="Line 97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SpPr>
          <a:spLocks noChangeShapeType="1"/>
        </xdr:cNvSpPr>
      </xdr:nvSpPr>
      <xdr:spPr bwMode="auto">
        <a:xfrm flipH="1">
          <a:off x="3670300" y="9628187"/>
          <a:ext cx="1588" cy="2016125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176213</xdr:colOff>
      <xdr:row>110</xdr:row>
      <xdr:rowOff>153987</xdr:rowOff>
    </xdr:from>
    <xdr:to>
      <xdr:col>17</xdr:col>
      <xdr:colOff>25400</xdr:colOff>
      <xdr:row>110</xdr:row>
      <xdr:rowOff>153987</xdr:rowOff>
    </xdr:to>
    <xdr:sp macro="" textlink="">
      <xdr:nvSpPr>
        <xdr:cNvPr id="346" name="Line 98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SpPr>
          <a:spLocks noChangeShapeType="1"/>
        </xdr:cNvSpPr>
      </xdr:nvSpPr>
      <xdr:spPr bwMode="auto">
        <a:xfrm rot="16200000">
          <a:off x="2158207" y="81160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176213</xdr:colOff>
      <xdr:row>108</xdr:row>
      <xdr:rowOff>65087</xdr:rowOff>
    </xdr:from>
    <xdr:to>
      <xdr:col>17</xdr:col>
      <xdr:colOff>25400</xdr:colOff>
      <xdr:row>108</xdr:row>
      <xdr:rowOff>65087</xdr:rowOff>
    </xdr:to>
    <xdr:sp macro="" textlink="">
      <xdr:nvSpPr>
        <xdr:cNvPr id="347" name="Line 99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SpPr>
          <a:spLocks noChangeShapeType="1"/>
        </xdr:cNvSpPr>
      </xdr:nvSpPr>
      <xdr:spPr bwMode="auto">
        <a:xfrm rot="16200000">
          <a:off x="2158207" y="76842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204788</xdr:colOff>
      <xdr:row>110</xdr:row>
      <xdr:rowOff>153987</xdr:rowOff>
    </xdr:from>
    <xdr:to>
      <xdr:col>22</xdr:col>
      <xdr:colOff>53975</xdr:colOff>
      <xdr:row>110</xdr:row>
      <xdr:rowOff>153987</xdr:rowOff>
    </xdr:to>
    <xdr:sp macro="" textlink="">
      <xdr:nvSpPr>
        <xdr:cNvPr id="348" name="Line 100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SpPr>
          <a:spLocks noChangeShapeType="1"/>
        </xdr:cNvSpPr>
      </xdr:nvSpPr>
      <xdr:spPr bwMode="auto">
        <a:xfrm rot="16200000">
          <a:off x="5615782" y="81160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204788</xdr:colOff>
      <xdr:row>108</xdr:row>
      <xdr:rowOff>65087</xdr:rowOff>
    </xdr:from>
    <xdr:to>
      <xdr:col>22</xdr:col>
      <xdr:colOff>53975</xdr:colOff>
      <xdr:row>108</xdr:row>
      <xdr:rowOff>65087</xdr:rowOff>
    </xdr:to>
    <xdr:sp macro="" textlink="">
      <xdr:nvSpPr>
        <xdr:cNvPr id="349" name="Line 101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SpPr>
          <a:spLocks noChangeShapeType="1"/>
        </xdr:cNvSpPr>
      </xdr:nvSpPr>
      <xdr:spPr bwMode="auto">
        <a:xfrm rot="16200000">
          <a:off x="5615782" y="76842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360363</xdr:colOff>
      <xdr:row>108</xdr:row>
      <xdr:rowOff>39687</xdr:rowOff>
    </xdr:from>
    <xdr:to>
      <xdr:col>13</xdr:col>
      <xdr:colOff>66675</xdr:colOff>
      <xdr:row>110</xdr:row>
      <xdr:rowOff>163512</xdr:rowOff>
    </xdr:to>
    <xdr:sp macro="" textlink="">
      <xdr:nvSpPr>
        <xdr:cNvPr id="350" name="Text Box 107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360363" y="8955087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１</a:t>
          </a:r>
        </a:p>
      </xdr:txBody>
    </xdr:sp>
    <xdr:clientData/>
  </xdr:twoCellAnchor>
  <xdr:twoCellAnchor>
    <xdr:from>
      <xdr:col>22</xdr:col>
      <xdr:colOff>53975</xdr:colOff>
      <xdr:row>108</xdr:row>
      <xdr:rowOff>39687</xdr:rowOff>
    </xdr:from>
    <xdr:to>
      <xdr:col>22</xdr:col>
      <xdr:colOff>446088</xdr:colOff>
      <xdr:row>110</xdr:row>
      <xdr:rowOff>163512</xdr:rowOff>
    </xdr:to>
    <xdr:sp macro="" textlink="">
      <xdr:nvSpPr>
        <xdr:cNvPr id="351" name="Text Box 108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6911975" y="8955087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３</a:t>
          </a:r>
        </a:p>
      </xdr:txBody>
    </xdr:sp>
    <xdr:clientData/>
  </xdr:twoCellAnchor>
  <xdr:twoCellAnchor>
    <xdr:from>
      <xdr:col>17</xdr:col>
      <xdr:colOff>242888</xdr:colOff>
      <xdr:row>94</xdr:row>
      <xdr:rowOff>63500</xdr:rowOff>
    </xdr:from>
    <xdr:to>
      <xdr:col>17</xdr:col>
      <xdr:colOff>625475</xdr:colOff>
      <xdr:row>97</xdr:row>
      <xdr:rowOff>9525</xdr:rowOff>
    </xdr:to>
    <xdr:sp macro="" textlink="">
      <xdr:nvSpPr>
        <xdr:cNvPr id="352" name="Text Box 109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3468688" y="7353300"/>
          <a:ext cx="382587" cy="4794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４</a:t>
          </a:r>
        </a:p>
      </xdr:txBody>
    </xdr:sp>
    <xdr:clientData/>
  </xdr:twoCellAnchor>
  <xdr:twoCellAnchor>
    <xdr:from>
      <xdr:col>17</xdr:col>
      <xdr:colOff>242888</xdr:colOff>
      <xdr:row>124</xdr:row>
      <xdr:rowOff>57150</xdr:rowOff>
    </xdr:from>
    <xdr:to>
      <xdr:col>17</xdr:col>
      <xdr:colOff>635000</xdr:colOff>
      <xdr:row>127</xdr:row>
      <xdr:rowOff>9525</xdr:rowOff>
    </xdr:to>
    <xdr:sp macro="" textlink="">
      <xdr:nvSpPr>
        <xdr:cNvPr id="353" name="Text Box 110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3671888" y="11715750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５</a:t>
          </a:r>
        </a:p>
      </xdr:txBody>
    </xdr:sp>
    <xdr:clientData/>
  </xdr:twoCellAnchor>
  <xdr:twoCellAnchor>
    <xdr:from>
      <xdr:col>17</xdr:col>
      <xdr:colOff>282575</xdr:colOff>
      <xdr:row>108</xdr:row>
      <xdr:rowOff>30162</xdr:rowOff>
    </xdr:from>
    <xdr:to>
      <xdr:col>17</xdr:col>
      <xdr:colOff>674688</xdr:colOff>
      <xdr:row>110</xdr:row>
      <xdr:rowOff>153987</xdr:rowOff>
    </xdr:to>
    <xdr:sp macro="" textlink="">
      <xdr:nvSpPr>
        <xdr:cNvPr id="354" name="Text Box 107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3711575" y="8945562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2400"/>
            <a:t>2</a:t>
          </a:r>
          <a:endParaRPr lang="ja-JP" altLang="en-US" sz="2400"/>
        </a:p>
      </xdr:txBody>
    </xdr:sp>
    <xdr:clientData/>
  </xdr:twoCellAnchor>
  <xdr:twoCellAnchor>
    <xdr:from>
      <xdr:col>13</xdr:col>
      <xdr:colOff>106363</xdr:colOff>
      <xdr:row>101</xdr:row>
      <xdr:rowOff>41275</xdr:rowOff>
    </xdr:from>
    <xdr:to>
      <xdr:col>13</xdr:col>
      <xdr:colOff>106363</xdr:colOff>
      <xdr:row>125</xdr:row>
      <xdr:rowOff>103187</xdr:rowOff>
    </xdr:to>
    <xdr:sp macro="" textlink="">
      <xdr:nvSpPr>
        <xdr:cNvPr id="355" name="Line 55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SpPr>
          <a:spLocks noChangeShapeType="1"/>
        </xdr:cNvSpPr>
      </xdr:nvSpPr>
      <xdr:spPr bwMode="auto">
        <a:xfrm>
          <a:off x="792163" y="7756525"/>
          <a:ext cx="0" cy="4176712"/>
        </a:xfrm>
        <a:prstGeom prst="line">
          <a:avLst/>
        </a:prstGeom>
        <a:noFill/>
        <a:ln w="12700">
          <a:solidFill>
            <a:schemeClr val="tx1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530225</xdr:colOff>
      <xdr:row>97</xdr:row>
      <xdr:rowOff>76200</xdr:rowOff>
    </xdr:from>
    <xdr:to>
      <xdr:col>13</xdr:col>
      <xdr:colOff>303213</xdr:colOff>
      <xdr:row>101</xdr:row>
      <xdr:rowOff>168275</xdr:rowOff>
    </xdr:to>
    <xdr:sp macro="" textlink="">
      <xdr:nvSpPr>
        <xdr:cNvPr id="356" name="Text Box 56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530225" y="15335250"/>
          <a:ext cx="449263" cy="777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/>
            <a:t>基準線</a:t>
          </a:r>
        </a:p>
      </xdr:txBody>
    </xdr:sp>
    <xdr:clientData/>
  </xdr:twoCellAnchor>
  <xdr:twoCellAnchor>
    <xdr:from>
      <xdr:col>13</xdr:col>
      <xdr:colOff>106363</xdr:colOff>
      <xdr:row>121</xdr:row>
      <xdr:rowOff>139700</xdr:rowOff>
    </xdr:from>
    <xdr:to>
      <xdr:col>14</xdr:col>
      <xdr:colOff>357188</xdr:colOff>
      <xdr:row>121</xdr:row>
      <xdr:rowOff>139700</xdr:rowOff>
    </xdr:to>
    <xdr:sp macro="" textlink="">
      <xdr:nvSpPr>
        <xdr:cNvPr id="358" name="Line 86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792163" y="11283950"/>
          <a:ext cx="9366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106363</xdr:colOff>
      <xdr:row>123</xdr:row>
      <xdr:rowOff>12700</xdr:rowOff>
    </xdr:from>
    <xdr:to>
      <xdr:col>20</xdr:col>
      <xdr:colOff>346075</xdr:colOff>
      <xdr:row>123</xdr:row>
      <xdr:rowOff>12700</xdr:rowOff>
    </xdr:to>
    <xdr:sp macro="" textlink="">
      <xdr:nvSpPr>
        <xdr:cNvPr id="360" name="Line 86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792163" y="11499850"/>
          <a:ext cx="5040312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217715</xdr:colOff>
      <xdr:row>86</xdr:row>
      <xdr:rowOff>40825</xdr:rowOff>
    </xdr:from>
    <xdr:to>
      <xdr:col>18</xdr:col>
      <xdr:colOff>517071</xdr:colOff>
      <xdr:row>92</xdr:row>
      <xdr:rowOff>54433</xdr:rowOff>
    </xdr:to>
    <xdr:sp macro="" textlink="">
      <xdr:nvSpPr>
        <xdr:cNvPr id="361" name="AutoShape 61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SpPr>
          <a:spLocks noChangeArrowheads="1"/>
        </xdr:cNvSpPr>
      </xdr:nvSpPr>
      <xdr:spPr bwMode="auto">
        <a:xfrm>
          <a:off x="7064829" y="14028968"/>
          <a:ext cx="3956956" cy="993322"/>
        </a:xfrm>
        <a:prstGeom prst="roundRect">
          <a:avLst>
            <a:gd name="adj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sz="1800" b="1">
              <a:solidFill>
                <a:sysClr val="windowText" lastClr="000000"/>
              </a:solidFill>
            </a:rPr>
            <a:t>規制パターン　③</a:t>
          </a:r>
          <a:endParaRPr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lang="ja-JP" altLang="en-US" sz="1800" b="1"/>
            <a:t>非開削工法：発進立坑 規制</a:t>
          </a:r>
          <a:endParaRPr lang="en-US" altLang="ja-JP" sz="1800" b="1"/>
        </a:p>
        <a:p>
          <a:pPr algn="ctr"/>
          <a:r>
            <a:rPr lang="ja-JP" altLang="en-US" sz="1800" b="1"/>
            <a:t>開削工法：</a:t>
          </a:r>
          <a:r>
            <a:rPr lang="en-US" altLang="ja-JP" sz="1800" b="1"/>
            <a:t>NO.1</a:t>
          </a:r>
          <a:r>
            <a:rPr lang="ja-JP" altLang="en-US" sz="1800" b="1"/>
            <a:t>マンホール規制</a:t>
          </a:r>
          <a:endParaRPr lang="en-US" altLang="ja-JP" sz="1800" b="1"/>
        </a:p>
      </xdr:txBody>
    </xdr:sp>
    <xdr:clientData/>
  </xdr:twoCellAnchor>
  <xdr:twoCellAnchor>
    <xdr:from>
      <xdr:col>17</xdr:col>
      <xdr:colOff>311150</xdr:colOff>
      <xdr:row>66</xdr:row>
      <xdr:rowOff>136525</xdr:rowOff>
    </xdr:from>
    <xdr:to>
      <xdr:col>17</xdr:col>
      <xdr:colOff>600075</xdr:colOff>
      <xdr:row>68</xdr:row>
      <xdr:rowOff>61912</xdr:rowOff>
    </xdr:to>
    <xdr:sp macro="" textlink="">
      <xdr:nvSpPr>
        <xdr:cNvPr id="362" name="Rectangle 14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SpPr>
          <a:spLocks noChangeArrowheads="1"/>
        </xdr:cNvSpPr>
      </xdr:nvSpPr>
      <xdr:spPr bwMode="auto">
        <a:xfrm rot="18953430" flipH="1">
          <a:off x="11283950" y="9051925"/>
          <a:ext cx="288925" cy="268287"/>
        </a:xfrm>
        <a:prstGeom prst="rect">
          <a:avLst/>
        </a:prstGeom>
        <a:noFill/>
        <a:ln w="9525">
          <a:solidFill>
            <a:schemeClr val="tx1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13</xdr:col>
      <xdr:colOff>106363</xdr:colOff>
      <xdr:row>65</xdr:row>
      <xdr:rowOff>20637</xdr:rowOff>
    </xdr:from>
    <xdr:to>
      <xdr:col>16</xdr:col>
      <xdr:colOff>566738</xdr:colOff>
      <xdr:row>65</xdr:row>
      <xdr:rowOff>20637</xdr:rowOff>
    </xdr:to>
    <xdr:sp macro="" textlink="">
      <xdr:nvSpPr>
        <xdr:cNvPr id="363" name="Line 15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SpPr>
          <a:spLocks noChangeShapeType="1"/>
        </xdr:cNvSpPr>
      </xdr:nvSpPr>
      <xdr:spPr bwMode="auto">
        <a:xfrm>
          <a:off x="8335963" y="87645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347663</xdr:colOff>
      <xdr:row>65</xdr:row>
      <xdr:rowOff>20637</xdr:rowOff>
    </xdr:from>
    <xdr:to>
      <xdr:col>22</xdr:col>
      <xdr:colOff>53975</xdr:colOff>
      <xdr:row>65</xdr:row>
      <xdr:rowOff>20637</xdr:rowOff>
    </xdr:to>
    <xdr:sp macro="" textlink="">
      <xdr:nvSpPr>
        <xdr:cNvPr id="364" name="Line 16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SpPr>
          <a:spLocks noChangeShapeType="1"/>
        </xdr:cNvSpPr>
      </xdr:nvSpPr>
      <xdr:spPr bwMode="auto">
        <a:xfrm>
          <a:off x="12006263" y="87645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51</xdr:row>
      <xdr:rowOff>44450</xdr:rowOff>
    </xdr:from>
    <xdr:to>
      <xdr:col>18</xdr:col>
      <xdr:colOff>203200</xdr:colOff>
      <xdr:row>64</xdr:row>
      <xdr:rowOff>47625</xdr:rowOff>
    </xdr:to>
    <xdr:sp macro="" textlink="">
      <xdr:nvSpPr>
        <xdr:cNvPr id="365" name="Line 17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SpPr>
          <a:spLocks noChangeShapeType="1"/>
        </xdr:cNvSpPr>
      </xdr:nvSpPr>
      <xdr:spPr bwMode="auto">
        <a:xfrm rot="16200000">
          <a:off x="10745787" y="75041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25400</xdr:colOff>
      <xdr:row>51</xdr:row>
      <xdr:rowOff>44450</xdr:rowOff>
    </xdr:from>
    <xdr:to>
      <xdr:col>17</xdr:col>
      <xdr:colOff>25400</xdr:colOff>
      <xdr:row>64</xdr:row>
      <xdr:rowOff>47625</xdr:rowOff>
    </xdr:to>
    <xdr:sp macro="" textlink="">
      <xdr:nvSpPr>
        <xdr:cNvPr id="366" name="Line 18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SpPr>
          <a:spLocks noChangeShapeType="1"/>
        </xdr:cNvSpPr>
      </xdr:nvSpPr>
      <xdr:spPr bwMode="auto">
        <a:xfrm rot="16200000">
          <a:off x="9882187" y="75041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16</xdr:col>
      <xdr:colOff>568325</xdr:colOff>
      <xdr:row>64</xdr:row>
      <xdr:rowOff>47625</xdr:rowOff>
    </xdr:from>
    <xdr:to>
      <xdr:col>17</xdr:col>
      <xdr:colOff>25400</xdr:colOff>
      <xdr:row>65</xdr:row>
      <xdr:rowOff>20637</xdr:rowOff>
    </xdr:to>
    <xdr:sp macro="" textlink="">
      <xdr:nvSpPr>
        <xdr:cNvPr id="367" name="Arc 19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SpPr>
          <a:spLocks/>
        </xdr:cNvSpPr>
      </xdr:nvSpPr>
      <xdr:spPr bwMode="auto">
        <a:xfrm rot="5400000">
          <a:off x="10854532" y="86209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204788</xdr:colOff>
      <xdr:row>64</xdr:row>
      <xdr:rowOff>47625</xdr:rowOff>
    </xdr:from>
    <xdr:to>
      <xdr:col>18</xdr:col>
      <xdr:colOff>347663</xdr:colOff>
      <xdr:row>65</xdr:row>
      <xdr:rowOff>20637</xdr:rowOff>
    </xdr:to>
    <xdr:sp macro="" textlink="">
      <xdr:nvSpPr>
        <xdr:cNvPr id="368" name="Arc 20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SpPr>
          <a:spLocks/>
        </xdr:cNvSpPr>
      </xdr:nvSpPr>
      <xdr:spPr bwMode="auto">
        <a:xfrm rot="16200000" flipH="1">
          <a:off x="11862595" y="86209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70</xdr:row>
      <xdr:rowOff>28575</xdr:rowOff>
    </xdr:from>
    <xdr:to>
      <xdr:col>18</xdr:col>
      <xdr:colOff>347663</xdr:colOff>
      <xdr:row>71</xdr:row>
      <xdr:rowOff>0</xdr:rowOff>
    </xdr:to>
    <xdr:sp macro="" textlink="">
      <xdr:nvSpPr>
        <xdr:cNvPr id="369" name="Arc 21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SpPr>
          <a:spLocks/>
        </xdr:cNvSpPr>
      </xdr:nvSpPr>
      <xdr:spPr bwMode="auto">
        <a:xfrm flipH="1">
          <a:off x="11861800" y="9629775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16</xdr:col>
      <xdr:colOff>568325</xdr:colOff>
      <xdr:row>70</xdr:row>
      <xdr:rowOff>26987</xdr:rowOff>
    </xdr:from>
    <xdr:to>
      <xdr:col>17</xdr:col>
      <xdr:colOff>25400</xdr:colOff>
      <xdr:row>71</xdr:row>
      <xdr:rowOff>0</xdr:rowOff>
    </xdr:to>
    <xdr:sp macro="" textlink="">
      <xdr:nvSpPr>
        <xdr:cNvPr id="370" name="Arc 22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SpPr>
          <a:spLocks/>
        </xdr:cNvSpPr>
      </xdr:nvSpPr>
      <xdr:spPr bwMode="auto">
        <a:xfrm rot="5400000" flipH="1">
          <a:off x="10854531" y="9628981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107950</xdr:colOff>
      <xdr:row>70</xdr:row>
      <xdr:rowOff>26987</xdr:rowOff>
    </xdr:from>
    <xdr:to>
      <xdr:col>16</xdr:col>
      <xdr:colOff>568325</xdr:colOff>
      <xdr:row>70</xdr:row>
      <xdr:rowOff>26987</xdr:rowOff>
    </xdr:to>
    <xdr:sp macro="" textlink="">
      <xdr:nvSpPr>
        <xdr:cNvPr id="371" name="Line 23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SpPr>
          <a:spLocks noChangeShapeType="1"/>
        </xdr:cNvSpPr>
      </xdr:nvSpPr>
      <xdr:spPr bwMode="auto">
        <a:xfrm>
          <a:off x="8337550" y="96281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347663</xdr:colOff>
      <xdr:row>70</xdr:row>
      <xdr:rowOff>26987</xdr:rowOff>
    </xdr:from>
    <xdr:to>
      <xdr:col>22</xdr:col>
      <xdr:colOff>53975</xdr:colOff>
      <xdr:row>70</xdr:row>
      <xdr:rowOff>26987</xdr:rowOff>
    </xdr:to>
    <xdr:sp macro="" textlink="">
      <xdr:nvSpPr>
        <xdr:cNvPr id="372" name="Line 24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SpPr>
          <a:spLocks noChangeShapeType="1"/>
        </xdr:cNvSpPr>
      </xdr:nvSpPr>
      <xdr:spPr bwMode="auto">
        <a:xfrm>
          <a:off x="12006263" y="96281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71</xdr:row>
      <xdr:rowOff>0</xdr:rowOff>
    </xdr:from>
    <xdr:to>
      <xdr:col>18</xdr:col>
      <xdr:colOff>203200</xdr:colOff>
      <xdr:row>84</xdr:row>
      <xdr:rowOff>3175</xdr:rowOff>
    </xdr:to>
    <xdr:sp macro="" textlink="">
      <xdr:nvSpPr>
        <xdr:cNvPr id="373" name="Line 25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SpPr>
          <a:spLocks noChangeShapeType="1"/>
        </xdr:cNvSpPr>
      </xdr:nvSpPr>
      <xdr:spPr bwMode="auto">
        <a:xfrm rot="5400000" flipH="1">
          <a:off x="10745787" y="108886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25400</xdr:colOff>
      <xdr:row>71</xdr:row>
      <xdr:rowOff>0</xdr:rowOff>
    </xdr:from>
    <xdr:to>
      <xdr:col>17</xdr:col>
      <xdr:colOff>25400</xdr:colOff>
      <xdr:row>84</xdr:row>
      <xdr:rowOff>3175</xdr:rowOff>
    </xdr:to>
    <xdr:sp macro="" textlink="">
      <xdr:nvSpPr>
        <xdr:cNvPr id="374" name="Line 26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SpPr>
          <a:spLocks noChangeShapeType="1"/>
        </xdr:cNvSpPr>
      </xdr:nvSpPr>
      <xdr:spPr bwMode="auto">
        <a:xfrm rot="16200000" flipV="1">
          <a:off x="9882187" y="108886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106363</xdr:colOff>
      <xdr:row>71</xdr:row>
      <xdr:rowOff>144462</xdr:rowOff>
    </xdr:from>
    <xdr:to>
      <xdr:col>17</xdr:col>
      <xdr:colOff>26988</xdr:colOff>
      <xdr:row>71</xdr:row>
      <xdr:rowOff>144462</xdr:rowOff>
    </xdr:to>
    <xdr:sp macro="" textlink="">
      <xdr:nvSpPr>
        <xdr:cNvPr id="375" name="Line 31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SpPr>
          <a:spLocks noChangeShapeType="1"/>
        </xdr:cNvSpPr>
      </xdr:nvSpPr>
      <xdr:spPr bwMode="auto">
        <a:xfrm>
          <a:off x="8335963" y="9917112"/>
          <a:ext cx="26638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71</xdr:row>
      <xdr:rowOff>144462</xdr:rowOff>
    </xdr:from>
    <xdr:to>
      <xdr:col>22</xdr:col>
      <xdr:colOff>53975</xdr:colOff>
      <xdr:row>71</xdr:row>
      <xdr:rowOff>144462</xdr:rowOff>
    </xdr:to>
    <xdr:sp macro="" textlink="">
      <xdr:nvSpPr>
        <xdr:cNvPr id="376" name="Line 33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SpPr>
          <a:spLocks noChangeShapeType="1"/>
        </xdr:cNvSpPr>
      </xdr:nvSpPr>
      <xdr:spPr bwMode="auto">
        <a:xfrm>
          <a:off x="11861800" y="9917112"/>
          <a:ext cx="259397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369348</xdr:colOff>
      <xdr:row>76</xdr:row>
      <xdr:rowOff>152400</xdr:rowOff>
    </xdr:from>
    <xdr:to>
      <xdr:col>19</xdr:col>
      <xdr:colOff>10065</xdr:colOff>
      <xdr:row>80</xdr:row>
      <xdr:rowOff>112712</xdr:rowOff>
    </xdr:to>
    <xdr:sp macro="" textlink="">
      <xdr:nvSpPr>
        <xdr:cNvPr id="377" name="Text Box 34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SpPr txBox="1">
          <a:spLocks noChangeArrowheads="1"/>
        </xdr:cNvSpPr>
      </xdr:nvSpPr>
      <xdr:spPr bwMode="auto">
        <a:xfrm rot="16200000">
          <a:off x="11080751" y="11907297"/>
          <a:ext cx="6715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312m</a:t>
          </a:r>
        </a:p>
      </xdr:txBody>
    </xdr:sp>
    <xdr:clientData/>
  </xdr:twoCellAnchor>
  <xdr:twoCellAnchor>
    <xdr:from>
      <xdr:col>19</xdr:col>
      <xdr:colOff>487363</xdr:colOff>
      <xdr:row>70</xdr:row>
      <xdr:rowOff>20637</xdr:rowOff>
    </xdr:from>
    <xdr:to>
      <xdr:col>20</xdr:col>
      <xdr:colOff>447675</xdr:colOff>
      <xdr:row>71</xdr:row>
      <xdr:rowOff>118554</xdr:rowOff>
    </xdr:to>
    <xdr:sp macro="" textlink="">
      <xdr:nvSpPr>
        <xdr:cNvPr id="378" name="Text Box 36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2031663" y="10510837"/>
          <a:ext cx="5953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543m</a:t>
          </a:r>
        </a:p>
      </xdr:txBody>
    </xdr:sp>
    <xdr:clientData/>
  </xdr:twoCellAnchor>
  <xdr:twoCellAnchor>
    <xdr:from>
      <xdr:col>19</xdr:col>
      <xdr:colOff>22225</xdr:colOff>
      <xdr:row>70</xdr:row>
      <xdr:rowOff>26987</xdr:rowOff>
    </xdr:from>
    <xdr:to>
      <xdr:col>19</xdr:col>
      <xdr:colOff>22225</xdr:colOff>
      <xdr:row>84</xdr:row>
      <xdr:rowOff>3175</xdr:rowOff>
    </xdr:to>
    <xdr:sp macro="" textlink="">
      <xdr:nvSpPr>
        <xdr:cNvPr id="379" name="Line 37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SpPr>
          <a:spLocks noChangeShapeType="1"/>
        </xdr:cNvSpPr>
      </xdr:nvSpPr>
      <xdr:spPr bwMode="auto">
        <a:xfrm rot="5400000">
          <a:off x="11178381" y="10816431"/>
          <a:ext cx="237648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19</xdr:col>
      <xdr:colOff>22225</xdr:colOff>
      <xdr:row>51</xdr:row>
      <xdr:rowOff>44450</xdr:rowOff>
    </xdr:from>
    <xdr:to>
      <xdr:col>19</xdr:col>
      <xdr:colOff>31750</xdr:colOff>
      <xdr:row>65</xdr:row>
      <xdr:rowOff>20637</xdr:rowOff>
    </xdr:to>
    <xdr:sp macro="" textlink="">
      <xdr:nvSpPr>
        <xdr:cNvPr id="380" name="Line 38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SpPr>
          <a:spLocks noChangeShapeType="1"/>
        </xdr:cNvSpPr>
      </xdr:nvSpPr>
      <xdr:spPr bwMode="auto">
        <a:xfrm rot="5400000">
          <a:off x="11183144" y="7571581"/>
          <a:ext cx="2376487" cy="9525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369348</xdr:colOff>
      <xdr:row>57</xdr:row>
      <xdr:rowOff>147637</xdr:rowOff>
    </xdr:from>
    <xdr:to>
      <xdr:col>19</xdr:col>
      <xdr:colOff>10065</xdr:colOff>
      <xdr:row>61</xdr:row>
      <xdr:rowOff>109537</xdr:rowOff>
    </xdr:to>
    <xdr:sp macro="" textlink="">
      <xdr:nvSpPr>
        <xdr:cNvPr id="381" name="Text Box 39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SpPr txBox="1">
          <a:spLocks noChangeArrowheads="1"/>
        </xdr:cNvSpPr>
      </xdr:nvSpPr>
      <xdr:spPr bwMode="auto">
        <a:xfrm rot="16200000">
          <a:off x="11079957" y="8525128"/>
          <a:ext cx="673100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250m</a:t>
          </a:r>
        </a:p>
      </xdr:txBody>
    </xdr:sp>
    <xdr:clientData/>
  </xdr:twoCellAnchor>
  <xdr:twoCellAnchor>
    <xdr:from>
      <xdr:col>14</xdr:col>
      <xdr:colOff>355600</xdr:colOff>
      <xdr:row>70</xdr:row>
      <xdr:rowOff>20637</xdr:rowOff>
    </xdr:from>
    <xdr:to>
      <xdr:col>15</xdr:col>
      <xdr:colOff>315913</xdr:colOff>
      <xdr:row>71</xdr:row>
      <xdr:rowOff>118554</xdr:rowOff>
    </xdr:to>
    <xdr:sp macro="" textlink="">
      <xdr:nvSpPr>
        <xdr:cNvPr id="382" name="Text Box 40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8724900" y="10510837"/>
          <a:ext cx="595313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456m</a:t>
          </a:r>
        </a:p>
      </xdr:txBody>
    </xdr:sp>
    <xdr:clientData/>
  </xdr:twoCellAnchor>
  <xdr:twoCellAnchor>
    <xdr:from>
      <xdr:col>18</xdr:col>
      <xdr:colOff>347663</xdr:colOff>
      <xdr:row>65</xdr:row>
      <xdr:rowOff>92075</xdr:rowOff>
    </xdr:from>
    <xdr:to>
      <xdr:col>19</xdr:col>
      <xdr:colOff>28575</xdr:colOff>
      <xdr:row>69</xdr:row>
      <xdr:rowOff>53975</xdr:rowOff>
    </xdr:to>
    <xdr:sp macro="" textlink="">
      <xdr:nvSpPr>
        <xdr:cNvPr id="383" name="Text Box 64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SpPr txBox="1">
          <a:spLocks noChangeArrowheads="1"/>
        </xdr:cNvSpPr>
      </xdr:nvSpPr>
      <xdr:spPr bwMode="auto">
        <a:xfrm rot="16200000">
          <a:off x="11865769" y="8976519"/>
          <a:ext cx="64770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19</xdr:col>
      <xdr:colOff>22225</xdr:colOff>
      <xdr:row>65</xdr:row>
      <xdr:rowOff>20637</xdr:rowOff>
    </xdr:from>
    <xdr:to>
      <xdr:col>19</xdr:col>
      <xdr:colOff>22225</xdr:colOff>
      <xdr:row>70</xdr:row>
      <xdr:rowOff>26987</xdr:rowOff>
    </xdr:to>
    <xdr:sp macro="" textlink="">
      <xdr:nvSpPr>
        <xdr:cNvPr id="384" name="Line 65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SpPr>
          <a:spLocks noChangeShapeType="1"/>
        </xdr:cNvSpPr>
      </xdr:nvSpPr>
      <xdr:spPr bwMode="auto">
        <a:xfrm rot="5400000">
          <a:off x="11934825" y="9196387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20</xdr:col>
      <xdr:colOff>344488</xdr:colOff>
      <xdr:row>68</xdr:row>
      <xdr:rowOff>153987</xdr:rowOff>
    </xdr:from>
    <xdr:to>
      <xdr:col>20</xdr:col>
      <xdr:colOff>631825</xdr:colOff>
      <xdr:row>70</xdr:row>
      <xdr:rowOff>26987</xdr:rowOff>
    </xdr:to>
    <xdr:sp macro="" textlink="">
      <xdr:nvSpPr>
        <xdr:cNvPr id="385" name="Rectangle 76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SpPr>
          <a:spLocks noChangeArrowheads="1"/>
        </xdr:cNvSpPr>
      </xdr:nvSpPr>
      <xdr:spPr bwMode="auto">
        <a:xfrm>
          <a:off x="13374688" y="9412287"/>
          <a:ext cx="287337" cy="215900"/>
        </a:xfrm>
        <a:prstGeom prst="rect">
          <a:avLst/>
        </a:prstGeom>
        <a:solidFill>
          <a:srgbClr val="FF0066"/>
        </a:solidFill>
        <a:ln w="9525">
          <a:solidFill>
            <a:schemeClr val="bg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14</xdr:col>
      <xdr:colOff>139700</xdr:colOff>
      <xdr:row>68</xdr:row>
      <xdr:rowOff>153987</xdr:rowOff>
    </xdr:from>
    <xdr:to>
      <xdr:col>14</xdr:col>
      <xdr:colOff>427038</xdr:colOff>
      <xdr:row>70</xdr:row>
      <xdr:rowOff>26987</xdr:rowOff>
    </xdr:to>
    <xdr:sp macro="" textlink="">
      <xdr:nvSpPr>
        <xdr:cNvPr id="386" name="Rectangle 77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SpPr>
          <a:spLocks noChangeArrowheads="1"/>
        </xdr:cNvSpPr>
      </xdr:nvSpPr>
      <xdr:spPr bwMode="auto">
        <a:xfrm>
          <a:off x="9055100" y="9412287"/>
          <a:ext cx="287338" cy="215900"/>
        </a:xfrm>
        <a:prstGeom prst="rect">
          <a:avLst/>
        </a:prstGeom>
        <a:solidFill>
          <a:srgbClr val="FF0066"/>
        </a:solidFill>
        <a:ln w="9525">
          <a:solidFill>
            <a:schemeClr val="bg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14</xdr:col>
      <xdr:colOff>427038</xdr:colOff>
      <xdr:row>74</xdr:row>
      <xdr:rowOff>55562</xdr:rowOff>
    </xdr:from>
    <xdr:to>
      <xdr:col>17</xdr:col>
      <xdr:colOff>25400</xdr:colOff>
      <xdr:row>74</xdr:row>
      <xdr:rowOff>61912</xdr:rowOff>
    </xdr:to>
    <xdr:sp macro="" textlink="">
      <xdr:nvSpPr>
        <xdr:cNvPr id="387" name="Line 79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9342438" y="10342562"/>
          <a:ext cx="1655762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25400</xdr:colOff>
      <xdr:row>74</xdr:row>
      <xdr:rowOff>55562</xdr:rowOff>
    </xdr:from>
    <xdr:to>
      <xdr:col>18</xdr:col>
      <xdr:colOff>203200</xdr:colOff>
      <xdr:row>74</xdr:row>
      <xdr:rowOff>55562</xdr:rowOff>
    </xdr:to>
    <xdr:sp macro="" textlink="">
      <xdr:nvSpPr>
        <xdr:cNvPr id="388" name="Line 80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SpPr>
          <a:spLocks noChangeShapeType="1"/>
        </xdr:cNvSpPr>
      </xdr:nvSpPr>
      <xdr:spPr bwMode="auto">
        <a:xfrm>
          <a:off x="10998200" y="10342562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203200</xdr:colOff>
      <xdr:row>74</xdr:row>
      <xdr:rowOff>55562</xdr:rowOff>
    </xdr:from>
    <xdr:to>
      <xdr:col>20</xdr:col>
      <xdr:colOff>344488</xdr:colOff>
      <xdr:row>74</xdr:row>
      <xdr:rowOff>61912</xdr:rowOff>
    </xdr:to>
    <xdr:sp macro="" textlink="">
      <xdr:nvSpPr>
        <xdr:cNvPr id="389" name="Line 81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SpPr>
          <a:spLocks noChangeShapeType="1"/>
        </xdr:cNvSpPr>
      </xdr:nvSpPr>
      <xdr:spPr bwMode="auto">
        <a:xfrm>
          <a:off x="11861800" y="10342562"/>
          <a:ext cx="1512888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176213</xdr:colOff>
      <xdr:row>72</xdr:row>
      <xdr:rowOff>44450</xdr:rowOff>
    </xdr:from>
    <xdr:to>
      <xdr:col>18</xdr:col>
      <xdr:colOff>17463</xdr:colOff>
      <xdr:row>74</xdr:row>
      <xdr:rowOff>68262</xdr:rowOff>
    </xdr:to>
    <xdr:sp macro="" textlink="">
      <xdr:nvSpPr>
        <xdr:cNvPr id="390" name="Text Box 82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1149013" y="99885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19</xdr:col>
      <xdr:colOff>103188</xdr:colOff>
      <xdr:row>72</xdr:row>
      <xdr:rowOff>44450</xdr:rowOff>
    </xdr:from>
    <xdr:to>
      <xdr:col>19</xdr:col>
      <xdr:colOff>630238</xdr:colOff>
      <xdr:row>74</xdr:row>
      <xdr:rowOff>68262</xdr:rowOff>
    </xdr:to>
    <xdr:sp macro="" textlink="">
      <xdr:nvSpPr>
        <xdr:cNvPr id="391" name="Text Box 83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2447588" y="99885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15</xdr:col>
      <xdr:colOff>173038</xdr:colOff>
      <xdr:row>72</xdr:row>
      <xdr:rowOff>44450</xdr:rowOff>
    </xdr:from>
    <xdr:to>
      <xdr:col>16</xdr:col>
      <xdr:colOff>14288</xdr:colOff>
      <xdr:row>74</xdr:row>
      <xdr:rowOff>68262</xdr:rowOff>
    </xdr:to>
    <xdr:sp macro="" textlink="">
      <xdr:nvSpPr>
        <xdr:cNvPr id="392" name="Text Box 84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9774238" y="99885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14</xdr:col>
      <xdr:colOff>139700</xdr:colOff>
      <xdr:row>74</xdr:row>
      <xdr:rowOff>61912</xdr:rowOff>
    </xdr:from>
    <xdr:to>
      <xdr:col>14</xdr:col>
      <xdr:colOff>427038</xdr:colOff>
      <xdr:row>74</xdr:row>
      <xdr:rowOff>61912</xdr:rowOff>
    </xdr:to>
    <xdr:sp macro="" textlink="">
      <xdr:nvSpPr>
        <xdr:cNvPr id="393" name="Line 86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9055100" y="10348912"/>
          <a:ext cx="28733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681038</xdr:colOff>
      <xdr:row>72</xdr:row>
      <xdr:rowOff>50800</xdr:rowOff>
    </xdr:from>
    <xdr:to>
      <xdr:col>14</xdr:col>
      <xdr:colOff>522288</xdr:colOff>
      <xdr:row>74</xdr:row>
      <xdr:rowOff>74612</xdr:rowOff>
    </xdr:to>
    <xdr:sp macro="" textlink="">
      <xdr:nvSpPr>
        <xdr:cNvPr id="394" name="Text Box 87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8910638" y="999490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20</xdr:col>
      <xdr:colOff>344488</xdr:colOff>
      <xdr:row>74</xdr:row>
      <xdr:rowOff>61912</xdr:rowOff>
    </xdr:from>
    <xdr:to>
      <xdr:col>20</xdr:col>
      <xdr:colOff>633413</xdr:colOff>
      <xdr:row>74</xdr:row>
      <xdr:rowOff>61912</xdr:rowOff>
    </xdr:to>
    <xdr:sp macro="" textlink="">
      <xdr:nvSpPr>
        <xdr:cNvPr id="395" name="Line 88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13374688" y="10348912"/>
          <a:ext cx="2889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20</xdr:col>
      <xdr:colOff>200025</xdr:colOff>
      <xdr:row>72</xdr:row>
      <xdr:rowOff>44450</xdr:rowOff>
    </xdr:from>
    <xdr:to>
      <xdr:col>21</xdr:col>
      <xdr:colOff>41275</xdr:colOff>
      <xdr:row>74</xdr:row>
      <xdr:rowOff>68262</xdr:rowOff>
    </xdr:to>
    <xdr:sp macro="" textlink="">
      <xdr:nvSpPr>
        <xdr:cNvPr id="396" name="Text Box 89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3230225" y="99885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17</xdr:col>
      <xdr:colOff>457200</xdr:colOff>
      <xdr:row>55</xdr:row>
      <xdr:rowOff>101600</xdr:rowOff>
    </xdr:from>
    <xdr:to>
      <xdr:col>17</xdr:col>
      <xdr:colOff>457200</xdr:colOff>
      <xdr:row>65</xdr:row>
      <xdr:rowOff>20637</xdr:rowOff>
    </xdr:to>
    <xdr:sp macro="" textlink="">
      <xdr:nvSpPr>
        <xdr:cNvPr id="397" name="Line 90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SpPr>
          <a:spLocks noChangeShapeType="1"/>
        </xdr:cNvSpPr>
      </xdr:nvSpPr>
      <xdr:spPr bwMode="auto">
        <a:xfrm flipH="1">
          <a:off x="10731500" y="7924800"/>
          <a:ext cx="0" cy="169703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439738</xdr:colOff>
      <xdr:row>70</xdr:row>
      <xdr:rowOff>26987</xdr:rowOff>
    </xdr:from>
    <xdr:to>
      <xdr:col>17</xdr:col>
      <xdr:colOff>457200</xdr:colOff>
      <xdr:row>81</xdr:row>
      <xdr:rowOff>157162</xdr:rowOff>
    </xdr:to>
    <xdr:sp macro="" textlink="">
      <xdr:nvSpPr>
        <xdr:cNvPr id="398" name="Line 91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SpPr>
          <a:spLocks noChangeShapeType="1"/>
        </xdr:cNvSpPr>
      </xdr:nvSpPr>
      <xdr:spPr bwMode="auto">
        <a:xfrm flipH="1">
          <a:off x="11412538" y="9628187"/>
          <a:ext cx="17462" cy="2016125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176213</xdr:colOff>
      <xdr:row>67</xdr:row>
      <xdr:rowOff>109537</xdr:rowOff>
    </xdr:from>
    <xdr:to>
      <xdr:col>17</xdr:col>
      <xdr:colOff>25400</xdr:colOff>
      <xdr:row>67</xdr:row>
      <xdr:rowOff>109537</xdr:rowOff>
    </xdr:to>
    <xdr:sp macro="" textlink="">
      <xdr:nvSpPr>
        <xdr:cNvPr id="399" name="Line 92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SpPr>
          <a:spLocks noChangeShapeType="1"/>
        </xdr:cNvSpPr>
      </xdr:nvSpPr>
      <xdr:spPr bwMode="auto">
        <a:xfrm rot="5400000" flipV="1">
          <a:off x="9702007" y="79001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204788</xdr:colOff>
      <xdr:row>67</xdr:row>
      <xdr:rowOff>109537</xdr:rowOff>
    </xdr:from>
    <xdr:to>
      <xdr:col>22</xdr:col>
      <xdr:colOff>53975</xdr:colOff>
      <xdr:row>67</xdr:row>
      <xdr:rowOff>109537</xdr:rowOff>
    </xdr:to>
    <xdr:sp macro="" textlink="">
      <xdr:nvSpPr>
        <xdr:cNvPr id="400" name="Line 93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SpPr>
          <a:spLocks noChangeShapeType="1"/>
        </xdr:cNvSpPr>
      </xdr:nvSpPr>
      <xdr:spPr bwMode="auto">
        <a:xfrm rot="5400000" flipV="1">
          <a:off x="13159582" y="79001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673100</xdr:colOff>
      <xdr:row>53</xdr:row>
      <xdr:rowOff>133350</xdr:rowOff>
    </xdr:from>
    <xdr:to>
      <xdr:col>17</xdr:col>
      <xdr:colOff>673100</xdr:colOff>
      <xdr:row>65</xdr:row>
      <xdr:rowOff>20637</xdr:rowOff>
    </xdr:to>
    <xdr:sp macro="" textlink="">
      <xdr:nvSpPr>
        <xdr:cNvPr id="401" name="Line 94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SpPr>
          <a:spLocks noChangeShapeType="1"/>
        </xdr:cNvSpPr>
      </xdr:nvSpPr>
      <xdr:spPr bwMode="auto">
        <a:xfrm flipH="1">
          <a:off x="11645900" y="6819900"/>
          <a:ext cx="0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241300</xdr:colOff>
      <xdr:row>53</xdr:row>
      <xdr:rowOff>133350</xdr:rowOff>
    </xdr:from>
    <xdr:to>
      <xdr:col>17</xdr:col>
      <xdr:colOff>258763</xdr:colOff>
      <xdr:row>65</xdr:row>
      <xdr:rowOff>20637</xdr:rowOff>
    </xdr:to>
    <xdr:sp macro="" textlink="">
      <xdr:nvSpPr>
        <xdr:cNvPr id="402" name="Line 95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SpPr>
          <a:spLocks noChangeShapeType="1"/>
        </xdr:cNvSpPr>
      </xdr:nvSpPr>
      <xdr:spPr bwMode="auto">
        <a:xfrm flipH="1">
          <a:off x="11214100" y="6819900"/>
          <a:ext cx="17463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673100</xdr:colOff>
      <xdr:row>70</xdr:row>
      <xdr:rowOff>26987</xdr:rowOff>
    </xdr:from>
    <xdr:to>
      <xdr:col>17</xdr:col>
      <xdr:colOff>674688</xdr:colOff>
      <xdr:row>82</xdr:row>
      <xdr:rowOff>57150</xdr:rowOff>
    </xdr:to>
    <xdr:sp macro="" textlink="">
      <xdr:nvSpPr>
        <xdr:cNvPr id="403" name="Line 96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SpPr>
          <a:spLocks noChangeShapeType="1"/>
        </xdr:cNvSpPr>
      </xdr:nvSpPr>
      <xdr:spPr bwMode="auto">
        <a:xfrm flipH="1">
          <a:off x="11645900" y="9628187"/>
          <a:ext cx="1588" cy="2087563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241300</xdr:colOff>
      <xdr:row>70</xdr:row>
      <xdr:rowOff>26987</xdr:rowOff>
    </xdr:from>
    <xdr:to>
      <xdr:col>17</xdr:col>
      <xdr:colOff>242888</xdr:colOff>
      <xdr:row>81</xdr:row>
      <xdr:rowOff>157162</xdr:rowOff>
    </xdr:to>
    <xdr:sp macro="" textlink="">
      <xdr:nvSpPr>
        <xdr:cNvPr id="404" name="Line 97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SpPr>
          <a:spLocks noChangeShapeType="1"/>
        </xdr:cNvSpPr>
      </xdr:nvSpPr>
      <xdr:spPr bwMode="auto">
        <a:xfrm flipH="1">
          <a:off x="11214100" y="9628187"/>
          <a:ext cx="1588" cy="2016125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176213</xdr:colOff>
      <xdr:row>68</xdr:row>
      <xdr:rowOff>153987</xdr:rowOff>
    </xdr:from>
    <xdr:to>
      <xdr:col>17</xdr:col>
      <xdr:colOff>25400</xdr:colOff>
      <xdr:row>68</xdr:row>
      <xdr:rowOff>153987</xdr:rowOff>
    </xdr:to>
    <xdr:sp macro="" textlink="">
      <xdr:nvSpPr>
        <xdr:cNvPr id="405" name="Line 98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SpPr>
          <a:spLocks noChangeShapeType="1"/>
        </xdr:cNvSpPr>
      </xdr:nvSpPr>
      <xdr:spPr bwMode="auto">
        <a:xfrm rot="16200000">
          <a:off x="9702007" y="81160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176213</xdr:colOff>
      <xdr:row>66</xdr:row>
      <xdr:rowOff>65087</xdr:rowOff>
    </xdr:from>
    <xdr:to>
      <xdr:col>17</xdr:col>
      <xdr:colOff>25400</xdr:colOff>
      <xdr:row>66</xdr:row>
      <xdr:rowOff>65087</xdr:rowOff>
    </xdr:to>
    <xdr:sp macro="" textlink="">
      <xdr:nvSpPr>
        <xdr:cNvPr id="406" name="Line 99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SpPr>
          <a:spLocks noChangeShapeType="1"/>
        </xdr:cNvSpPr>
      </xdr:nvSpPr>
      <xdr:spPr bwMode="auto">
        <a:xfrm rot="16200000">
          <a:off x="9702007" y="76842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204788</xdr:colOff>
      <xdr:row>68</xdr:row>
      <xdr:rowOff>153987</xdr:rowOff>
    </xdr:from>
    <xdr:to>
      <xdr:col>22</xdr:col>
      <xdr:colOff>53975</xdr:colOff>
      <xdr:row>68</xdr:row>
      <xdr:rowOff>153987</xdr:rowOff>
    </xdr:to>
    <xdr:sp macro="" textlink="">
      <xdr:nvSpPr>
        <xdr:cNvPr id="407" name="Line 100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SpPr>
          <a:spLocks noChangeShapeType="1"/>
        </xdr:cNvSpPr>
      </xdr:nvSpPr>
      <xdr:spPr bwMode="auto">
        <a:xfrm rot="16200000">
          <a:off x="13159582" y="81160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204788</xdr:colOff>
      <xdr:row>66</xdr:row>
      <xdr:rowOff>65087</xdr:rowOff>
    </xdr:from>
    <xdr:to>
      <xdr:col>22</xdr:col>
      <xdr:colOff>53975</xdr:colOff>
      <xdr:row>66</xdr:row>
      <xdr:rowOff>65087</xdr:rowOff>
    </xdr:to>
    <xdr:sp macro="" textlink="">
      <xdr:nvSpPr>
        <xdr:cNvPr id="408" name="Line 101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SpPr>
          <a:spLocks noChangeShapeType="1"/>
        </xdr:cNvSpPr>
      </xdr:nvSpPr>
      <xdr:spPr bwMode="auto">
        <a:xfrm rot="16200000">
          <a:off x="13159582" y="76842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360363</xdr:colOff>
      <xdr:row>66</xdr:row>
      <xdr:rowOff>39687</xdr:rowOff>
    </xdr:from>
    <xdr:to>
      <xdr:col>13</xdr:col>
      <xdr:colOff>66675</xdr:colOff>
      <xdr:row>68</xdr:row>
      <xdr:rowOff>163512</xdr:rowOff>
    </xdr:to>
    <xdr:sp macro="" textlink="">
      <xdr:nvSpPr>
        <xdr:cNvPr id="409" name="Text Box 107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7904163" y="8955087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１</a:t>
          </a:r>
        </a:p>
      </xdr:txBody>
    </xdr:sp>
    <xdr:clientData/>
  </xdr:twoCellAnchor>
  <xdr:twoCellAnchor>
    <xdr:from>
      <xdr:col>22</xdr:col>
      <xdr:colOff>53975</xdr:colOff>
      <xdr:row>66</xdr:row>
      <xdr:rowOff>39687</xdr:rowOff>
    </xdr:from>
    <xdr:to>
      <xdr:col>22</xdr:col>
      <xdr:colOff>446088</xdr:colOff>
      <xdr:row>68</xdr:row>
      <xdr:rowOff>163512</xdr:rowOff>
    </xdr:to>
    <xdr:sp macro="" textlink="">
      <xdr:nvSpPr>
        <xdr:cNvPr id="410" name="Text Box 108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4455775" y="8955087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３</a:t>
          </a:r>
        </a:p>
      </xdr:txBody>
    </xdr:sp>
    <xdr:clientData/>
  </xdr:twoCellAnchor>
  <xdr:twoCellAnchor>
    <xdr:from>
      <xdr:col>17</xdr:col>
      <xdr:colOff>242888</xdr:colOff>
      <xdr:row>52</xdr:row>
      <xdr:rowOff>63500</xdr:rowOff>
    </xdr:from>
    <xdr:to>
      <xdr:col>17</xdr:col>
      <xdr:colOff>625475</xdr:colOff>
      <xdr:row>55</xdr:row>
      <xdr:rowOff>9525</xdr:rowOff>
    </xdr:to>
    <xdr:sp macro="" textlink="">
      <xdr:nvSpPr>
        <xdr:cNvPr id="411" name="Text Box 109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0517188" y="7353300"/>
          <a:ext cx="382587" cy="4794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４</a:t>
          </a:r>
        </a:p>
      </xdr:txBody>
    </xdr:sp>
    <xdr:clientData/>
  </xdr:twoCellAnchor>
  <xdr:twoCellAnchor>
    <xdr:from>
      <xdr:col>17</xdr:col>
      <xdr:colOff>242888</xdr:colOff>
      <xdr:row>82</xdr:row>
      <xdr:rowOff>57150</xdr:rowOff>
    </xdr:from>
    <xdr:to>
      <xdr:col>17</xdr:col>
      <xdr:colOff>635000</xdr:colOff>
      <xdr:row>85</xdr:row>
      <xdr:rowOff>9525</xdr:rowOff>
    </xdr:to>
    <xdr:sp macro="" textlink="">
      <xdr:nvSpPr>
        <xdr:cNvPr id="412" name="Text Box 110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1215688" y="11715750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５</a:t>
          </a:r>
        </a:p>
      </xdr:txBody>
    </xdr:sp>
    <xdr:clientData/>
  </xdr:twoCellAnchor>
  <xdr:twoCellAnchor>
    <xdr:from>
      <xdr:col>17</xdr:col>
      <xdr:colOff>282575</xdr:colOff>
      <xdr:row>66</xdr:row>
      <xdr:rowOff>30162</xdr:rowOff>
    </xdr:from>
    <xdr:to>
      <xdr:col>17</xdr:col>
      <xdr:colOff>674688</xdr:colOff>
      <xdr:row>68</xdr:row>
      <xdr:rowOff>153987</xdr:rowOff>
    </xdr:to>
    <xdr:sp macro="" textlink="">
      <xdr:nvSpPr>
        <xdr:cNvPr id="413" name="Text Box 107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1255375" y="8945562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2400"/>
            <a:t>2</a:t>
          </a:r>
          <a:endParaRPr lang="ja-JP" altLang="en-US" sz="2400"/>
        </a:p>
      </xdr:txBody>
    </xdr:sp>
    <xdr:clientData/>
  </xdr:twoCellAnchor>
  <xdr:twoCellAnchor>
    <xdr:from>
      <xdr:col>13</xdr:col>
      <xdr:colOff>106363</xdr:colOff>
      <xdr:row>59</xdr:row>
      <xdr:rowOff>41275</xdr:rowOff>
    </xdr:from>
    <xdr:to>
      <xdr:col>13</xdr:col>
      <xdr:colOff>106363</xdr:colOff>
      <xdr:row>83</xdr:row>
      <xdr:rowOff>103187</xdr:rowOff>
    </xdr:to>
    <xdr:sp macro="" textlink="">
      <xdr:nvSpPr>
        <xdr:cNvPr id="414" name="Line 55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SpPr>
          <a:spLocks noChangeShapeType="1"/>
        </xdr:cNvSpPr>
      </xdr:nvSpPr>
      <xdr:spPr bwMode="auto">
        <a:xfrm>
          <a:off x="8335963" y="7756525"/>
          <a:ext cx="0" cy="4176712"/>
        </a:xfrm>
        <a:prstGeom prst="line">
          <a:avLst/>
        </a:prstGeom>
        <a:noFill/>
        <a:ln w="12700">
          <a:solidFill>
            <a:schemeClr val="tx1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520700</xdr:colOff>
      <xdr:row>55</xdr:row>
      <xdr:rowOff>95250</xdr:rowOff>
    </xdr:from>
    <xdr:to>
      <xdr:col>13</xdr:col>
      <xdr:colOff>293688</xdr:colOff>
      <xdr:row>60</xdr:row>
      <xdr:rowOff>15875</xdr:rowOff>
    </xdr:to>
    <xdr:sp macro="" textlink="">
      <xdr:nvSpPr>
        <xdr:cNvPr id="415" name="Text Box 56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7369175" y="8496300"/>
          <a:ext cx="382588" cy="777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/>
            <a:t>基準線</a:t>
          </a:r>
        </a:p>
      </xdr:txBody>
    </xdr:sp>
    <xdr:clientData/>
  </xdr:twoCellAnchor>
  <xdr:twoCellAnchor>
    <xdr:from>
      <xdr:col>13</xdr:col>
      <xdr:colOff>106363</xdr:colOff>
      <xdr:row>79</xdr:row>
      <xdr:rowOff>139700</xdr:rowOff>
    </xdr:from>
    <xdr:to>
      <xdr:col>14</xdr:col>
      <xdr:colOff>357188</xdr:colOff>
      <xdr:row>79</xdr:row>
      <xdr:rowOff>139700</xdr:rowOff>
    </xdr:to>
    <xdr:sp macro="" textlink="">
      <xdr:nvSpPr>
        <xdr:cNvPr id="417" name="Line 86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8335963" y="11283950"/>
          <a:ext cx="9366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106363</xdr:colOff>
      <xdr:row>81</xdr:row>
      <xdr:rowOff>12700</xdr:rowOff>
    </xdr:from>
    <xdr:to>
      <xdr:col>20</xdr:col>
      <xdr:colOff>346075</xdr:colOff>
      <xdr:row>81</xdr:row>
      <xdr:rowOff>12700</xdr:rowOff>
    </xdr:to>
    <xdr:sp macro="" textlink="">
      <xdr:nvSpPr>
        <xdr:cNvPr id="419" name="Line 86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8335963" y="11499850"/>
          <a:ext cx="5040312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190499</xdr:colOff>
      <xdr:row>43</xdr:row>
      <xdr:rowOff>152400</xdr:rowOff>
    </xdr:from>
    <xdr:to>
      <xdr:col>19</xdr:col>
      <xdr:colOff>607423</xdr:colOff>
      <xdr:row>50</xdr:row>
      <xdr:rowOff>65314</xdr:rowOff>
    </xdr:to>
    <xdr:sp macro="" textlink="">
      <xdr:nvSpPr>
        <xdr:cNvPr id="420" name="AutoShape 61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7037613" y="7119257"/>
          <a:ext cx="4684124" cy="1055914"/>
        </a:xfrm>
        <a:prstGeom prst="roundRect">
          <a:avLst>
            <a:gd name="adj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sz="1800" b="1">
              <a:solidFill>
                <a:sysClr val="windowText" lastClr="000000"/>
              </a:solidFill>
            </a:rPr>
            <a:t>規制パターン　②</a:t>
          </a:r>
          <a:endParaRPr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lang="ja-JP" altLang="en-US" sz="1800" b="1"/>
            <a:t>非開削工法：発進・到達 両立坑 規制</a:t>
          </a:r>
          <a:endParaRPr lang="en-US" altLang="ja-JP" sz="1800" b="1"/>
        </a:p>
        <a:p>
          <a:pPr algn="ctr"/>
          <a:r>
            <a:rPr lang="ja-JP" altLang="en-US" sz="1800" b="1"/>
            <a:t>開削工法：</a:t>
          </a:r>
          <a:r>
            <a:rPr lang="en-US" altLang="ja-JP" sz="1800" b="1"/>
            <a:t>NO.1</a:t>
          </a:r>
          <a:r>
            <a:rPr lang="ja-JP" altLang="en-US" sz="1800" b="1"/>
            <a:t>、</a:t>
          </a:r>
          <a:r>
            <a:rPr lang="en-US" altLang="ja-JP" sz="1800" b="1"/>
            <a:t>NO.2 </a:t>
          </a:r>
          <a:r>
            <a:rPr lang="ja-JP" altLang="en-US" sz="1800" b="1"/>
            <a:t>両ﾏﾝﾎｰﾙ 規制</a:t>
          </a:r>
          <a:endParaRPr lang="en-US" altLang="ja-JP" sz="1800" b="1"/>
        </a:p>
      </xdr:txBody>
    </xdr:sp>
    <xdr:clientData/>
  </xdr:twoCellAnchor>
  <xdr:twoCellAnchor>
    <xdr:from>
      <xdr:col>5</xdr:col>
      <xdr:colOff>311150</xdr:colOff>
      <xdr:row>66</xdr:row>
      <xdr:rowOff>136525</xdr:rowOff>
    </xdr:from>
    <xdr:to>
      <xdr:col>5</xdr:col>
      <xdr:colOff>600075</xdr:colOff>
      <xdr:row>68</xdr:row>
      <xdr:rowOff>61912</xdr:rowOff>
    </xdr:to>
    <xdr:sp macro="" textlink="">
      <xdr:nvSpPr>
        <xdr:cNvPr id="480" name="Rectangle 14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SpPr>
          <a:spLocks noChangeArrowheads="1"/>
        </xdr:cNvSpPr>
      </xdr:nvSpPr>
      <xdr:spPr bwMode="auto">
        <a:xfrm rot="18953430" flipH="1">
          <a:off x="3740150" y="15224125"/>
          <a:ext cx="288925" cy="268287"/>
        </a:xfrm>
        <a:prstGeom prst="rect">
          <a:avLst/>
        </a:prstGeom>
        <a:noFill/>
        <a:ln w="9525">
          <a:solidFill>
            <a:schemeClr val="tx1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</xdr:col>
      <xdr:colOff>106363</xdr:colOff>
      <xdr:row>65</xdr:row>
      <xdr:rowOff>20637</xdr:rowOff>
    </xdr:from>
    <xdr:to>
      <xdr:col>4</xdr:col>
      <xdr:colOff>566738</xdr:colOff>
      <xdr:row>65</xdr:row>
      <xdr:rowOff>20637</xdr:rowOff>
    </xdr:to>
    <xdr:sp macro="" textlink="">
      <xdr:nvSpPr>
        <xdr:cNvPr id="481" name="Line 15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SpPr>
          <a:spLocks noChangeShapeType="1"/>
        </xdr:cNvSpPr>
      </xdr:nvSpPr>
      <xdr:spPr bwMode="auto">
        <a:xfrm>
          <a:off x="792163" y="149367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347663</xdr:colOff>
      <xdr:row>65</xdr:row>
      <xdr:rowOff>20637</xdr:rowOff>
    </xdr:from>
    <xdr:to>
      <xdr:col>10</xdr:col>
      <xdr:colOff>53975</xdr:colOff>
      <xdr:row>65</xdr:row>
      <xdr:rowOff>20637</xdr:rowOff>
    </xdr:to>
    <xdr:sp macro="" textlink="">
      <xdr:nvSpPr>
        <xdr:cNvPr id="482" name="Line 16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SpPr>
          <a:spLocks noChangeShapeType="1"/>
        </xdr:cNvSpPr>
      </xdr:nvSpPr>
      <xdr:spPr bwMode="auto">
        <a:xfrm>
          <a:off x="4462463" y="149367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51</xdr:row>
      <xdr:rowOff>44450</xdr:rowOff>
    </xdr:from>
    <xdr:to>
      <xdr:col>6</xdr:col>
      <xdr:colOff>203200</xdr:colOff>
      <xdr:row>64</xdr:row>
      <xdr:rowOff>47625</xdr:rowOff>
    </xdr:to>
    <xdr:sp macro="" textlink="">
      <xdr:nvSpPr>
        <xdr:cNvPr id="483" name="Line 17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SpPr>
          <a:spLocks noChangeShapeType="1"/>
        </xdr:cNvSpPr>
      </xdr:nvSpPr>
      <xdr:spPr bwMode="auto">
        <a:xfrm rot="16200000">
          <a:off x="3201987" y="136763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25400</xdr:colOff>
      <xdr:row>51</xdr:row>
      <xdr:rowOff>44450</xdr:rowOff>
    </xdr:from>
    <xdr:to>
      <xdr:col>5</xdr:col>
      <xdr:colOff>25400</xdr:colOff>
      <xdr:row>64</xdr:row>
      <xdr:rowOff>47625</xdr:rowOff>
    </xdr:to>
    <xdr:sp macro="" textlink="">
      <xdr:nvSpPr>
        <xdr:cNvPr id="484" name="Line 18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SpPr>
          <a:spLocks noChangeShapeType="1"/>
        </xdr:cNvSpPr>
      </xdr:nvSpPr>
      <xdr:spPr bwMode="auto">
        <a:xfrm rot="16200000">
          <a:off x="2338387" y="136763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568325</xdr:colOff>
      <xdr:row>64</xdr:row>
      <xdr:rowOff>47625</xdr:rowOff>
    </xdr:from>
    <xdr:to>
      <xdr:col>5</xdr:col>
      <xdr:colOff>25400</xdr:colOff>
      <xdr:row>65</xdr:row>
      <xdr:rowOff>20637</xdr:rowOff>
    </xdr:to>
    <xdr:sp macro="" textlink="">
      <xdr:nvSpPr>
        <xdr:cNvPr id="485" name="Arc 19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SpPr>
          <a:spLocks/>
        </xdr:cNvSpPr>
      </xdr:nvSpPr>
      <xdr:spPr bwMode="auto">
        <a:xfrm rot="5400000">
          <a:off x="3310732" y="147931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64</xdr:row>
      <xdr:rowOff>47625</xdr:rowOff>
    </xdr:from>
    <xdr:to>
      <xdr:col>6</xdr:col>
      <xdr:colOff>347663</xdr:colOff>
      <xdr:row>65</xdr:row>
      <xdr:rowOff>20637</xdr:rowOff>
    </xdr:to>
    <xdr:sp macro="" textlink="">
      <xdr:nvSpPr>
        <xdr:cNvPr id="486" name="Arc 20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SpPr>
          <a:spLocks/>
        </xdr:cNvSpPr>
      </xdr:nvSpPr>
      <xdr:spPr bwMode="auto">
        <a:xfrm rot="16200000" flipH="1">
          <a:off x="4318795" y="147931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70</xdr:row>
      <xdr:rowOff>28575</xdr:rowOff>
    </xdr:from>
    <xdr:to>
      <xdr:col>6</xdr:col>
      <xdr:colOff>347663</xdr:colOff>
      <xdr:row>71</xdr:row>
      <xdr:rowOff>0</xdr:rowOff>
    </xdr:to>
    <xdr:sp macro="" textlink="">
      <xdr:nvSpPr>
        <xdr:cNvPr id="487" name="Arc 21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SpPr>
          <a:spLocks/>
        </xdr:cNvSpPr>
      </xdr:nvSpPr>
      <xdr:spPr bwMode="auto">
        <a:xfrm flipH="1">
          <a:off x="4318000" y="15801975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568325</xdr:colOff>
      <xdr:row>70</xdr:row>
      <xdr:rowOff>26987</xdr:rowOff>
    </xdr:from>
    <xdr:to>
      <xdr:col>5</xdr:col>
      <xdr:colOff>25400</xdr:colOff>
      <xdr:row>71</xdr:row>
      <xdr:rowOff>0</xdr:rowOff>
    </xdr:to>
    <xdr:sp macro="" textlink="">
      <xdr:nvSpPr>
        <xdr:cNvPr id="488" name="Arc 22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SpPr>
          <a:spLocks/>
        </xdr:cNvSpPr>
      </xdr:nvSpPr>
      <xdr:spPr bwMode="auto">
        <a:xfrm rot="5400000" flipH="1">
          <a:off x="3310731" y="15801181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107950</xdr:colOff>
      <xdr:row>70</xdr:row>
      <xdr:rowOff>26987</xdr:rowOff>
    </xdr:from>
    <xdr:to>
      <xdr:col>4</xdr:col>
      <xdr:colOff>568325</xdr:colOff>
      <xdr:row>70</xdr:row>
      <xdr:rowOff>26987</xdr:rowOff>
    </xdr:to>
    <xdr:sp macro="" textlink="">
      <xdr:nvSpPr>
        <xdr:cNvPr id="489" name="Line 23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SpPr>
          <a:spLocks noChangeShapeType="1"/>
        </xdr:cNvSpPr>
      </xdr:nvSpPr>
      <xdr:spPr bwMode="auto">
        <a:xfrm>
          <a:off x="793750" y="158003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347663</xdr:colOff>
      <xdr:row>70</xdr:row>
      <xdr:rowOff>26987</xdr:rowOff>
    </xdr:from>
    <xdr:to>
      <xdr:col>10</xdr:col>
      <xdr:colOff>53975</xdr:colOff>
      <xdr:row>70</xdr:row>
      <xdr:rowOff>26987</xdr:rowOff>
    </xdr:to>
    <xdr:sp macro="" textlink="">
      <xdr:nvSpPr>
        <xdr:cNvPr id="490" name="Line 24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SpPr>
          <a:spLocks noChangeShapeType="1"/>
        </xdr:cNvSpPr>
      </xdr:nvSpPr>
      <xdr:spPr bwMode="auto">
        <a:xfrm>
          <a:off x="4462463" y="158003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71</xdr:row>
      <xdr:rowOff>0</xdr:rowOff>
    </xdr:from>
    <xdr:to>
      <xdr:col>6</xdr:col>
      <xdr:colOff>203200</xdr:colOff>
      <xdr:row>84</xdr:row>
      <xdr:rowOff>3175</xdr:rowOff>
    </xdr:to>
    <xdr:sp macro="" textlink="">
      <xdr:nvSpPr>
        <xdr:cNvPr id="491" name="Line 25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>
          <a:spLocks noChangeShapeType="1"/>
        </xdr:cNvSpPr>
      </xdr:nvSpPr>
      <xdr:spPr bwMode="auto">
        <a:xfrm rot="5400000" flipH="1">
          <a:off x="3201987" y="170608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25400</xdr:colOff>
      <xdr:row>71</xdr:row>
      <xdr:rowOff>0</xdr:rowOff>
    </xdr:from>
    <xdr:to>
      <xdr:col>5</xdr:col>
      <xdr:colOff>25400</xdr:colOff>
      <xdr:row>84</xdr:row>
      <xdr:rowOff>3175</xdr:rowOff>
    </xdr:to>
    <xdr:sp macro="" textlink="">
      <xdr:nvSpPr>
        <xdr:cNvPr id="492" name="Line 26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>
          <a:spLocks noChangeShapeType="1"/>
        </xdr:cNvSpPr>
      </xdr:nvSpPr>
      <xdr:spPr bwMode="auto">
        <a:xfrm rot="16200000" flipV="1">
          <a:off x="2338387" y="170608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106363</xdr:colOff>
      <xdr:row>71</xdr:row>
      <xdr:rowOff>144462</xdr:rowOff>
    </xdr:from>
    <xdr:to>
      <xdr:col>5</xdr:col>
      <xdr:colOff>26988</xdr:colOff>
      <xdr:row>71</xdr:row>
      <xdr:rowOff>144462</xdr:rowOff>
    </xdr:to>
    <xdr:sp macro="" textlink="">
      <xdr:nvSpPr>
        <xdr:cNvPr id="493" name="Line 31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>
          <a:spLocks noChangeShapeType="1"/>
        </xdr:cNvSpPr>
      </xdr:nvSpPr>
      <xdr:spPr bwMode="auto">
        <a:xfrm>
          <a:off x="792163" y="16089312"/>
          <a:ext cx="26638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71</xdr:row>
      <xdr:rowOff>144462</xdr:rowOff>
    </xdr:from>
    <xdr:to>
      <xdr:col>10</xdr:col>
      <xdr:colOff>53975</xdr:colOff>
      <xdr:row>71</xdr:row>
      <xdr:rowOff>144462</xdr:rowOff>
    </xdr:to>
    <xdr:sp macro="" textlink="">
      <xdr:nvSpPr>
        <xdr:cNvPr id="494" name="Line 33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>
          <a:spLocks noChangeShapeType="1"/>
        </xdr:cNvSpPr>
      </xdr:nvSpPr>
      <xdr:spPr bwMode="auto">
        <a:xfrm>
          <a:off x="4318000" y="16089312"/>
          <a:ext cx="259397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369348</xdr:colOff>
      <xdr:row>76</xdr:row>
      <xdr:rowOff>152400</xdr:rowOff>
    </xdr:from>
    <xdr:to>
      <xdr:col>7</xdr:col>
      <xdr:colOff>10065</xdr:colOff>
      <xdr:row>80</xdr:row>
      <xdr:rowOff>112712</xdr:rowOff>
    </xdr:to>
    <xdr:sp macro="" textlink="">
      <xdr:nvSpPr>
        <xdr:cNvPr id="495" name="Text Box 34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 txBox="1">
          <a:spLocks noChangeArrowheads="1"/>
        </xdr:cNvSpPr>
      </xdr:nvSpPr>
      <xdr:spPr bwMode="auto">
        <a:xfrm rot="16200000">
          <a:off x="4032251" y="18600197"/>
          <a:ext cx="6715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312m</a:t>
          </a:r>
        </a:p>
      </xdr:txBody>
    </xdr:sp>
    <xdr:clientData/>
  </xdr:twoCellAnchor>
  <xdr:twoCellAnchor>
    <xdr:from>
      <xdr:col>7</xdr:col>
      <xdr:colOff>487363</xdr:colOff>
      <xdr:row>70</xdr:row>
      <xdr:rowOff>20637</xdr:rowOff>
    </xdr:from>
    <xdr:to>
      <xdr:col>8</xdr:col>
      <xdr:colOff>447675</xdr:colOff>
      <xdr:row>71</xdr:row>
      <xdr:rowOff>118554</xdr:rowOff>
    </xdr:to>
    <xdr:sp macro="" textlink="">
      <xdr:nvSpPr>
        <xdr:cNvPr id="496" name="Text Box 36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4983163" y="17203737"/>
          <a:ext cx="5953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543m</a:t>
          </a:r>
        </a:p>
      </xdr:txBody>
    </xdr:sp>
    <xdr:clientData/>
  </xdr:twoCellAnchor>
  <xdr:twoCellAnchor>
    <xdr:from>
      <xdr:col>6</xdr:col>
      <xdr:colOff>574675</xdr:colOff>
      <xdr:row>70</xdr:row>
      <xdr:rowOff>26987</xdr:rowOff>
    </xdr:from>
    <xdr:to>
      <xdr:col>6</xdr:col>
      <xdr:colOff>574675</xdr:colOff>
      <xdr:row>84</xdr:row>
      <xdr:rowOff>3175</xdr:rowOff>
    </xdr:to>
    <xdr:sp macro="" textlink="">
      <xdr:nvSpPr>
        <xdr:cNvPr id="497" name="Line 37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>
          <a:spLocks noChangeShapeType="1"/>
        </xdr:cNvSpPr>
      </xdr:nvSpPr>
      <xdr:spPr bwMode="auto">
        <a:xfrm rot="5400000">
          <a:off x="3110706" y="12188031"/>
          <a:ext cx="237648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7</xdr:col>
      <xdr:colOff>22225</xdr:colOff>
      <xdr:row>51</xdr:row>
      <xdr:rowOff>44450</xdr:rowOff>
    </xdr:from>
    <xdr:to>
      <xdr:col>7</xdr:col>
      <xdr:colOff>31750</xdr:colOff>
      <xdr:row>65</xdr:row>
      <xdr:rowOff>20637</xdr:rowOff>
    </xdr:to>
    <xdr:sp macro="" textlink="">
      <xdr:nvSpPr>
        <xdr:cNvPr id="498" name="Line 38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>
          <a:spLocks noChangeShapeType="1"/>
        </xdr:cNvSpPr>
      </xdr:nvSpPr>
      <xdr:spPr bwMode="auto">
        <a:xfrm rot="5400000">
          <a:off x="3639344" y="13743781"/>
          <a:ext cx="2376487" cy="9525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369348</xdr:colOff>
      <xdr:row>57</xdr:row>
      <xdr:rowOff>147637</xdr:rowOff>
    </xdr:from>
    <xdr:to>
      <xdr:col>7</xdr:col>
      <xdr:colOff>10065</xdr:colOff>
      <xdr:row>61</xdr:row>
      <xdr:rowOff>109537</xdr:rowOff>
    </xdr:to>
    <xdr:sp macro="" textlink="">
      <xdr:nvSpPr>
        <xdr:cNvPr id="499" name="Text Box 39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 txBox="1">
          <a:spLocks noChangeArrowheads="1"/>
        </xdr:cNvSpPr>
      </xdr:nvSpPr>
      <xdr:spPr bwMode="auto">
        <a:xfrm rot="16200000">
          <a:off x="4031457" y="15218028"/>
          <a:ext cx="673100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250m</a:t>
          </a:r>
        </a:p>
      </xdr:txBody>
    </xdr:sp>
    <xdr:clientData/>
  </xdr:twoCellAnchor>
  <xdr:twoCellAnchor>
    <xdr:from>
      <xdr:col>2</xdr:col>
      <xdr:colOff>355600</xdr:colOff>
      <xdr:row>70</xdr:row>
      <xdr:rowOff>20637</xdr:rowOff>
    </xdr:from>
    <xdr:to>
      <xdr:col>3</xdr:col>
      <xdr:colOff>315913</xdr:colOff>
      <xdr:row>71</xdr:row>
      <xdr:rowOff>118554</xdr:rowOff>
    </xdr:to>
    <xdr:sp macro="" textlink="">
      <xdr:nvSpPr>
        <xdr:cNvPr id="500" name="Text Box 40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1676400" y="17203737"/>
          <a:ext cx="595313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456m</a:t>
          </a:r>
        </a:p>
      </xdr:txBody>
    </xdr:sp>
    <xdr:clientData/>
  </xdr:twoCellAnchor>
  <xdr:twoCellAnchor>
    <xdr:from>
      <xdr:col>6</xdr:col>
      <xdr:colOff>347663</xdr:colOff>
      <xdr:row>65</xdr:row>
      <xdr:rowOff>92075</xdr:rowOff>
    </xdr:from>
    <xdr:to>
      <xdr:col>7</xdr:col>
      <xdr:colOff>28575</xdr:colOff>
      <xdr:row>69</xdr:row>
      <xdr:rowOff>53975</xdr:rowOff>
    </xdr:to>
    <xdr:sp macro="" textlink="">
      <xdr:nvSpPr>
        <xdr:cNvPr id="501" name="Text Box 64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SpPr txBox="1">
          <a:spLocks noChangeArrowheads="1"/>
        </xdr:cNvSpPr>
      </xdr:nvSpPr>
      <xdr:spPr bwMode="auto">
        <a:xfrm rot="16200000">
          <a:off x="4321969" y="15148719"/>
          <a:ext cx="64770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7</xdr:col>
      <xdr:colOff>22225</xdr:colOff>
      <xdr:row>65</xdr:row>
      <xdr:rowOff>20637</xdr:rowOff>
    </xdr:from>
    <xdr:to>
      <xdr:col>7</xdr:col>
      <xdr:colOff>22225</xdr:colOff>
      <xdr:row>70</xdr:row>
      <xdr:rowOff>26987</xdr:rowOff>
    </xdr:to>
    <xdr:sp macro="" textlink="">
      <xdr:nvSpPr>
        <xdr:cNvPr id="502" name="Line 65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>
          <a:spLocks noChangeShapeType="1"/>
        </xdr:cNvSpPr>
      </xdr:nvSpPr>
      <xdr:spPr bwMode="auto">
        <a:xfrm rot="5400000">
          <a:off x="4391025" y="15368587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7</xdr:col>
      <xdr:colOff>168275</xdr:colOff>
      <xdr:row>68</xdr:row>
      <xdr:rowOff>153987</xdr:rowOff>
    </xdr:from>
    <xdr:to>
      <xdr:col>7</xdr:col>
      <xdr:colOff>455613</xdr:colOff>
      <xdr:row>70</xdr:row>
      <xdr:rowOff>26987</xdr:rowOff>
    </xdr:to>
    <xdr:sp macro="" textlink="">
      <xdr:nvSpPr>
        <xdr:cNvPr id="503" name="Rectangle 76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>
          <a:spLocks noChangeArrowheads="1"/>
        </xdr:cNvSpPr>
      </xdr:nvSpPr>
      <xdr:spPr bwMode="auto">
        <a:xfrm>
          <a:off x="4968875" y="15584487"/>
          <a:ext cx="287338" cy="215900"/>
        </a:xfrm>
        <a:prstGeom prst="rect">
          <a:avLst/>
        </a:prstGeom>
        <a:solidFill>
          <a:srgbClr val="FF0066"/>
        </a:solidFill>
        <a:ln w="9525">
          <a:solidFill>
            <a:schemeClr val="bg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2</xdr:col>
      <xdr:colOff>427038</xdr:colOff>
      <xdr:row>74</xdr:row>
      <xdr:rowOff>55562</xdr:rowOff>
    </xdr:from>
    <xdr:to>
      <xdr:col>5</xdr:col>
      <xdr:colOff>25400</xdr:colOff>
      <xdr:row>74</xdr:row>
      <xdr:rowOff>61912</xdr:rowOff>
    </xdr:to>
    <xdr:sp macro="" textlink="">
      <xdr:nvSpPr>
        <xdr:cNvPr id="504" name="Line 79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1798638" y="16514762"/>
          <a:ext cx="1655762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25400</xdr:colOff>
      <xdr:row>74</xdr:row>
      <xdr:rowOff>55562</xdr:rowOff>
    </xdr:from>
    <xdr:to>
      <xdr:col>6</xdr:col>
      <xdr:colOff>203200</xdr:colOff>
      <xdr:row>74</xdr:row>
      <xdr:rowOff>55562</xdr:rowOff>
    </xdr:to>
    <xdr:sp macro="" textlink="">
      <xdr:nvSpPr>
        <xdr:cNvPr id="505" name="Line 80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>
          <a:spLocks noChangeShapeType="1"/>
        </xdr:cNvSpPr>
      </xdr:nvSpPr>
      <xdr:spPr bwMode="auto">
        <a:xfrm>
          <a:off x="3454400" y="16514762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74</xdr:row>
      <xdr:rowOff>55562</xdr:rowOff>
    </xdr:from>
    <xdr:to>
      <xdr:col>8</xdr:col>
      <xdr:colOff>344488</xdr:colOff>
      <xdr:row>74</xdr:row>
      <xdr:rowOff>61912</xdr:rowOff>
    </xdr:to>
    <xdr:sp macro="" textlink="">
      <xdr:nvSpPr>
        <xdr:cNvPr id="506" name="Line 81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>
          <a:spLocks noChangeShapeType="1"/>
        </xdr:cNvSpPr>
      </xdr:nvSpPr>
      <xdr:spPr bwMode="auto">
        <a:xfrm>
          <a:off x="4318000" y="16514762"/>
          <a:ext cx="1512888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176213</xdr:colOff>
      <xdr:row>72</xdr:row>
      <xdr:rowOff>44450</xdr:rowOff>
    </xdr:from>
    <xdr:to>
      <xdr:col>6</xdr:col>
      <xdr:colOff>17463</xdr:colOff>
      <xdr:row>74</xdr:row>
      <xdr:rowOff>68262</xdr:rowOff>
    </xdr:to>
    <xdr:sp macro="" textlink="">
      <xdr:nvSpPr>
        <xdr:cNvPr id="507" name="Text Box 82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3605213" y="161607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7</xdr:col>
      <xdr:colOff>103188</xdr:colOff>
      <xdr:row>72</xdr:row>
      <xdr:rowOff>44450</xdr:rowOff>
    </xdr:from>
    <xdr:to>
      <xdr:col>7</xdr:col>
      <xdr:colOff>630238</xdr:colOff>
      <xdr:row>74</xdr:row>
      <xdr:rowOff>68262</xdr:rowOff>
    </xdr:to>
    <xdr:sp macro="" textlink="">
      <xdr:nvSpPr>
        <xdr:cNvPr id="508" name="Text Box 83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4903788" y="161607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3</xdr:col>
      <xdr:colOff>173038</xdr:colOff>
      <xdr:row>72</xdr:row>
      <xdr:rowOff>44450</xdr:rowOff>
    </xdr:from>
    <xdr:to>
      <xdr:col>4</xdr:col>
      <xdr:colOff>14288</xdr:colOff>
      <xdr:row>74</xdr:row>
      <xdr:rowOff>68262</xdr:rowOff>
    </xdr:to>
    <xdr:sp macro="" textlink="">
      <xdr:nvSpPr>
        <xdr:cNvPr id="509" name="Text Box 84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2230438" y="161607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2</xdr:col>
      <xdr:colOff>139700</xdr:colOff>
      <xdr:row>74</xdr:row>
      <xdr:rowOff>61912</xdr:rowOff>
    </xdr:from>
    <xdr:to>
      <xdr:col>2</xdr:col>
      <xdr:colOff>427038</xdr:colOff>
      <xdr:row>74</xdr:row>
      <xdr:rowOff>61912</xdr:rowOff>
    </xdr:to>
    <xdr:sp macro="" textlink="">
      <xdr:nvSpPr>
        <xdr:cNvPr id="510" name="Line 86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1511300" y="16521112"/>
          <a:ext cx="28733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681038</xdr:colOff>
      <xdr:row>72</xdr:row>
      <xdr:rowOff>50800</xdr:rowOff>
    </xdr:from>
    <xdr:to>
      <xdr:col>2</xdr:col>
      <xdr:colOff>522288</xdr:colOff>
      <xdr:row>74</xdr:row>
      <xdr:rowOff>74612</xdr:rowOff>
    </xdr:to>
    <xdr:sp macro="" textlink="">
      <xdr:nvSpPr>
        <xdr:cNvPr id="511" name="Text Box 87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366838" y="1616710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8</xdr:col>
      <xdr:colOff>344488</xdr:colOff>
      <xdr:row>74</xdr:row>
      <xdr:rowOff>61912</xdr:rowOff>
    </xdr:from>
    <xdr:to>
      <xdr:col>8</xdr:col>
      <xdr:colOff>633413</xdr:colOff>
      <xdr:row>74</xdr:row>
      <xdr:rowOff>61912</xdr:rowOff>
    </xdr:to>
    <xdr:sp macro="" textlink="">
      <xdr:nvSpPr>
        <xdr:cNvPr id="512" name="Line 88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5830888" y="16521112"/>
          <a:ext cx="2889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8</xdr:col>
      <xdr:colOff>200025</xdr:colOff>
      <xdr:row>72</xdr:row>
      <xdr:rowOff>44450</xdr:rowOff>
    </xdr:from>
    <xdr:to>
      <xdr:col>9</xdr:col>
      <xdr:colOff>41275</xdr:colOff>
      <xdr:row>74</xdr:row>
      <xdr:rowOff>68262</xdr:rowOff>
    </xdr:to>
    <xdr:sp macro="" textlink="">
      <xdr:nvSpPr>
        <xdr:cNvPr id="513" name="Text Box 89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5686425" y="161607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5</xdr:col>
      <xdr:colOff>444500</xdr:colOff>
      <xdr:row>57</xdr:row>
      <xdr:rowOff>38100</xdr:rowOff>
    </xdr:from>
    <xdr:to>
      <xdr:col>5</xdr:col>
      <xdr:colOff>457200</xdr:colOff>
      <xdr:row>65</xdr:row>
      <xdr:rowOff>20637</xdr:rowOff>
    </xdr:to>
    <xdr:sp macro="" textlink="">
      <xdr:nvSpPr>
        <xdr:cNvPr id="514" name="Line 90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SpPr>
          <a:spLocks noChangeShapeType="1"/>
        </xdr:cNvSpPr>
      </xdr:nvSpPr>
      <xdr:spPr bwMode="auto">
        <a:xfrm>
          <a:off x="3670300" y="14909800"/>
          <a:ext cx="12700" cy="140493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439738</xdr:colOff>
      <xdr:row>70</xdr:row>
      <xdr:rowOff>26987</xdr:rowOff>
    </xdr:from>
    <xdr:to>
      <xdr:col>5</xdr:col>
      <xdr:colOff>457200</xdr:colOff>
      <xdr:row>81</xdr:row>
      <xdr:rowOff>157162</xdr:rowOff>
    </xdr:to>
    <xdr:sp macro="" textlink="">
      <xdr:nvSpPr>
        <xdr:cNvPr id="515" name="Line 91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SpPr>
          <a:spLocks noChangeShapeType="1"/>
        </xdr:cNvSpPr>
      </xdr:nvSpPr>
      <xdr:spPr bwMode="auto">
        <a:xfrm flipH="1">
          <a:off x="3868738" y="15800387"/>
          <a:ext cx="17462" cy="2016125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176213</xdr:colOff>
      <xdr:row>67</xdr:row>
      <xdr:rowOff>109537</xdr:rowOff>
    </xdr:from>
    <xdr:to>
      <xdr:col>5</xdr:col>
      <xdr:colOff>25400</xdr:colOff>
      <xdr:row>67</xdr:row>
      <xdr:rowOff>109537</xdr:rowOff>
    </xdr:to>
    <xdr:sp macro="" textlink="">
      <xdr:nvSpPr>
        <xdr:cNvPr id="516" name="Line 92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SpPr>
          <a:spLocks noChangeShapeType="1"/>
        </xdr:cNvSpPr>
      </xdr:nvSpPr>
      <xdr:spPr bwMode="auto">
        <a:xfrm rot="5400000" flipV="1">
          <a:off x="2158207" y="140723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67</xdr:row>
      <xdr:rowOff>109537</xdr:rowOff>
    </xdr:from>
    <xdr:to>
      <xdr:col>10</xdr:col>
      <xdr:colOff>53975</xdr:colOff>
      <xdr:row>67</xdr:row>
      <xdr:rowOff>109537</xdr:rowOff>
    </xdr:to>
    <xdr:sp macro="" textlink="">
      <xdr:nvSpPr>
        <xdr:cNvPr id="517" name="Line 93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SpPr>
          <a:spLocks noChangeShapeType="1"/>
        </xdr:cNvSpPr>
      </xdr:nvSpPr>
      <xdr:spPr bwMode="auto">
        <a:xfrm rot="5400000" flipV="1">
          <a:off x="5615782" y="140723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673100</xdr:colOff>
      <xdr:row>53</xdr:row>
      <xdr:rowOff>133350</xdr:rowOff>
    </xdr:from>
    <xdr:to>
      <xdr:col>5</xdr:col>
      <xdr:colOff>673100</xdr:colOff>
      <xdr:row>65</xdr:row>
      <xdr:rowOff>20637</xdr:rowOff>
    </xdr:to>
    <xdr:sp macro="" textlink="">
      <xdr:nvSpPr>
        <xdr:cNvPr id="518" name="Line 94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SpPr>
          <a:spLocks noChangeShapeType="1"/>
        </xdr:cNvSpPr>
      </xdr:nvSpPr>
      <xdr:spPr bwMode="auto">
        <a:xfrm flipH="1">
          <a:off x="4102100" y="12992100"/>
          <a:ext cx="0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241300</xdr:colOff>
      <xdr:row>53</xdr:row>
      <xdr:rowOff>133350</xdr:rowOff>
    </xdr:from>
    <xdr:to>
      <xdr:col>5</xdr:col>
      <xdr:colOff>258763</xdr:colOff>
      <xdr:row>65</xdr:row>
      <xdr:rowOff>20637</xdr:rowOff>
    </xdr:to>
    <xdr:sp macro="" textlink="">
      <xdr:nvSpPr>
        <xdr:cNvPr id="519" name="Line 95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SpPr>
          <a:spLocks noChangeShapeType="1"/>
        </xdr:cNvSpPr>
      </xdr:nvSpPr>
      <xdr:spPr bwMode="auto">
        <a:xfrm flipH="1">
          <a:off x="3670300" y="12992100"/>
          <a:ext cx="17463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673100</xdr:colOff>
      <xdr:row>70</xdr:row>
      <xdr:rowOff>26987</xdr:rowOff>
    </xdr:from>
    <xdr:to>
      <xdr:col>5</xdr:col>
      <xdr:colOff>674688</xdr:colOff>
      <xdr:row>82</xdr:row>
      <xdr:rowOff>57150</xdr:rowOff>
    </xdr:to>
    <xdr:sp macro="" textlink="">
      <xdr:nvSpPr>
        <xdr:cNvPr id="520" name="Line 96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SpPr>
          <a:spLocks noChangeShapeType="1"/>
        </xdr:cNvSpPr>
      </xdr:nvSpPr>
      <xdr:spPr bwMode="auto">
        <a:xfrm flipH="1">
          <a:off x="4102100" y="15800387"/>
          <a:ext cx="1588" cy="2087563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241300</xdr:colOff>
      <xdr:row>70</xdr:row>
      <xdr:rowOff>26987</xdr:rowOff>
    </xdr:from>
    <xdr:to>
      <xdr:col>5</xdr:col>
      <xdr:colOff>242888</xdr:colOff>
      <xdr:row>81</xdr:row>
      <xdr:rowOff>157162</xdr:rowOff>
    </xdr:to>
    <xdr:sp macro="" textlink="">
      <xdr:nvSpPr>
        <xdr:cNvPr id="521" name="Line 97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SpPr>
          <a:spLocks noChangeShapeType="1"/>
        </xdr:cNvSpPr>
      </xdr:nvSpPr>
      <xdr:spPr bwMode="auto">
        <a:xfrm flipH="1">
          <a:off x="3670300" y="15800387"/>
          <a:ext cx="1588" cy="2016125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176213</xdr:colOff>
      <xdr:row>68</xdr:row>
      <xdr:rowOff>153987</xdr:rowOff>
    </xdr:from>
    <xdr:to>
      <xdr:col>5</xdr:col>
      <xdr:colOff>25400</xdr:colOff>
      <xdr:row>68</xdr:row>
      <xdr:rowOff>153987</xdr:rowOff>
    </xdr:to>
    <xdr:sp macro="" textlink="">
      <xdr:nvSpPr>
        <xdr:cNvPr id="522" name="Line 98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SpPr>
          <a:spLocks noChangeShapeType="1"/>
        </xdr:cNvSpPr>
      </xdr:nvSpPr>
      <xdr:spPr bwMode="auto">
        <a:xfrm rot="16200000">
          <a:off x="2158207" y="142882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176213</xdr:colOff>
      <xdr:row>66</xdr:row>
      <xdr:rowOff>65087</xdr:rowOff>
    </xdr:from>
    <xdr:to>
      <xdr:col>5</xdr:col>
      <xdr:colOff>25400</xdr:colOff>
      <xdr:row>66</xdr:row>
      <xdr:rowOff>65087</xdr:rowOff>
    </xdr:to>
    <xdr:sp macro="" textlink="">
      <xdr:nvSpPr>
        <xdr:cNvPr id="523" name="Line 99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SpPr>
          <a:spLocks noChangeShapeType="1"/>
        </xdr:cNvSpPr>
      </xdr:nvSpPr>
      <xdr:spPr bwMode="auto">
        <a:xfrm rot="16200000">
          <a:off x="2158207" y="138564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68</xdr:row>
      <xdr:rowOff>153987</xdr:rowOff>
    </xdr:from>
    <xdr:to>
      <xdr:col>10</xdr:col>
      <xdr:colOff>53975</xdr:colOff>
      <xdr:row>68</xdr:row>
      <xdr:rowOff>153987</xdr:rowOff>
    </xdr:to>
    <xdr:sp macro="" textlink="">
      <xdr:nvSpPr>
        <xdr:cNvPr id="524" name="Line 100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ShapeType="1"/>
        </xdr:cNvSpPr>
      </xdr:nvSpPr>
      <xdr:spPr bwMode="auto">
        <a:xfrm rot="16200000">
          <a:off x="5615782" y="142882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66</xdr:row>
      <xdr:rowOff>65087</xdr:rowOff>
    </xdr:from>
    <xdr:to>
      <xdr:col>10</xdr:col>
      <xdr:colOff>53975</xdr:colOff>
      <xdr:row>66</xdr:row>
      <xdr:rowOff>65087</xdr:rowOff>
    </xdr:to>
    <xdr:sp macro="" textlink="">
      <xdr:nvSpPr>
        <xdr:cNvPr id="525" name="Line 101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SpPr>
          <a:spLocks noChangeShapeType="1"/>
        </xdr:cNvSpPr>
      </xdr:nvSpPr>
      <xdr:spPr bwMode="auto">
        <a:xfrm rot="16200000">
          <a:off x="5615782" y="138564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360363</xdr:colOff>
      <xdr:row>66</xdr:row>
      <xdr:rowOff>39687</xdr:rowOff>
    </xdr:from>
    <xdr:to>
      <xdr:col>1</xdr:col>
      <xdr:colOff>66675</xdr:colOff>
      <xdr:row>68</xdr:row>
      <xdr:rowOff>163512</xdr:rowOff>
    </xdr:to>
    <xdr:sp macro="" textlink="">
      <xdr:nvSpPr>
        <xdr:cNvPr id="526" name="Text Box 107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360363" y="15127287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１</a:t>
          </a:r>
        </a:p>
      </xdr:txBody>
    </xdr:sp>
    <xdr:clientData/>
  </xdr:twoCellAnchor>
  <xdr:twoCellAnchor>
    <xdr:from>
      <xdr:col>10</xdr:col>
      <xdr:colOff>53975</xdr:colOff>
      <xdr:row>66</xdr:row>
      <xdr:rowOff>39687</xdr:rowOff>
    </xdr:from>
    <xdr:to>
      <xdr:col>10</xdr:col>
      <xdr:colOff>446088</xdr:colOff>
      <xdr:row>68</xdr:row>
      <xdr:rowOff>163512</xdr:rowOff>
    </xdr:to>
    <xdr:sp macro="" textlink="">
      <xdr:nvSpPr>
        <xdr:cNvPr id="527" name="Text Box 108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6911975" y="15127287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３</a:t>
          </a:r>
        </a:p>
      </xdr:txBody>
    </xdr:sp>
    <xdr:clientData/>
  </xdr:twoCellAnchor>
  <xdr:twoCellAnchor>
    <xdr:from>
      <xdr:col>5</xdr:col>
      <xdr:colOff>242888</xdr:colOff>
      <xdr:row>54</xdr:row>
      <xdr:rowOff>38100</xdr:rowOff>
    </xdr:from>
    <xdr:to>
      <xdr:col>5</xdr:col>
      <xdr:colOff>625475</xdr:colOff>
      <xdr:row>56</xdr:row>
      <xdr:rowOff>161925</xdr:rowOff>
    </xdr:to>
    <xdr:sp macro="" textlink="">
      <xdr:nvSpPr>
        <xdr:cNvPr id="528" name="Text Box 109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3468688" y="14376400"/>
          <a:ext cx="382587" cy="4794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４</a:t>
          </a:r>
        </a:p>
      </xdr:txBody>
    </xdr:sp>
    <xdr:clientData/>
  </xdr:twoCellAnchor>
  <xdr:twoCellAnchor>
    <xdr:from>
      <xdr:col>5</xdr:col>
      <xdr:colOff>242888</xdr:colOff>
      <xdr:row>82</xdr:row>
      <xdr:rowOff>57150</xdr:rowOff>
    </xdr:from>
    <xdr:to>
      <xdr:col>5</xdr:col>
      <xdr:colOff>635000</xdr:colOff>
      <xdr:row>85</xdr:row>
      <xdr:rowOff>9525</xdr:rowOff>
    </xdr:to>
    <xdr:sp macro="" textlink="">
      <xdr:nvSpPr>
        <xdr:cNvPr id="529" name="Text Box 110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3671888" y="17887950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５</a:t>
          </a:r>
        </a:p>
      </xdr:txBody>
    </xdr:sp>
    <xdr:clientData/>
  </xdr:twoCellAnchor>
  <xdr:twoCellAnchor>
    <xdr:from>
      <xdr:col>5</xdr:col>
      <xdr:colOff>282575</xdr:colOff>
      <xdr:row>66</xdr:row>
      <xdr:rowOff>30162</xdr:rowOff>
    </xdr:from>
    <xdr:to>
      <xdr:col>5</xdr:col>
      <xdr:colOff>674688</xdr:colOff>
      <xdr:row>68</xdr:row>
      <xdr:rowOff>153987</xdr:rowOff>
    </xdr:to>
    <xdr:sp macro="" textlink="">
      <xdr:nvSpPr>
        <xdr:cNvPr id="530" name="Text Box 107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3711575" y="15117762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2400"/>
            <a:t>2</a:t>
          </a:r>
          <a:endParaRPr lang="ja-JP" altLang="en-US" sz="2400"/>
        </a:p>
      </xdr:txBody>
    </xdr:sp>
    <xdr:clientData/>
  </xdr:twoCellAnchor>
  <xdr:twoCellAnchor>
    <xdr:from>
      <xdr:col>1</xdr:col>
      <xdr:colOff>106363</xdr:colOff>
      <xdr:row>59</xdr:row>
      <xdr:rowOff>41275</xdr:rowOff>
    </xdr:from>
    <xdr:to>
      <xdr:col>1</xdr:col>
      <xdr:colOff>106363</xdr:colOff>
      <xdr:row>83</xdr:row>
      <xdr:rowOff>103187</xdr:rowOff>
    </xdr:to>
    <xdr:sp macro="" textlink="">
      <xdr:nvSpPr>
        <xdr:cNvPr id="531" name="Line 55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SpPr>
          <a:spLocks noChangeShapeType="1"/>
        </xdr:cNvSpPr>
      </xdr:nvSpPr>
      <xdr:spPr bwMode="auto">
        <a:xfrm>
          <a:off x="792163" y="13928725"/>
          <a:ext cx="0" cy="4176712"/>
        </a:xfrm>
        <a:prstGeom prst="line">
          <a:avLst/>
        </a:prstGeom>
        <a:noFill/>
        <a:ln w="12700">
          <a:solidFill>
            <a:schemeClr val="tx1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523875</xdr:colOff>
      <xdr:row>55</xdr:row>
      <xdr:rowOff>120650</xdr:rowOff>
    </xdr:from>
    <xdr:to>
      <xdr:col>1</xdr:col>
      <xdr:colOff>296863</xdr:colOff>
      <xdr:row>60</xdr:row>
      <xdr:rowOff>34925</xdr:rowOff>
    </xdr:to>
    <xdr:sp macro="" textlink="">
      <xdr:nvSpPr>
        <xdr:cNvPr id="532" name="Text Box 56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523875" y="8521700"/>
          <a:ext cx="449263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/>
            <a:t>基準線</a:t>
          </a:r>
        </a:p>
      </xdr:txBody>
    </xdr:sp>
    <xdr:clientData/>
  </xdr:twoCellAnchor>
  <xdr:twoCellAnchor>
    <xdr:from>
      <xdr:col>1</xdr:col>
      <xdr:colOff>136524</xdr:colOff>
      <xdr:row>78</xdr:row>
      <xdr:rowOff>12700</xdr:rowOff>
    </xdr:from>
    <xdr:to>
      <xdr:col>3</xdr:col>
      <xdr:colOff>304800</xdr:colOff>
      <xdr:row>79</xdr:row>
      <xdr:rowOff>82042</xdr:rowOff>
    </xdr:to>
    <xdr:sp macro="" textlink="">
      <xdr:nvSpPr>
        <xdr:cNvPr id="533" name="Text Box 87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822324" y="18618200"/>
          <a:ext cx="1438276" cy="2471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B:366m</a:t>
          </a:r>
        </a:p>
      </xdr:txBody>
    </xdr:sp>
    <xdr:clientData/>
  </xdr:twoCellAnchor>
  <xdr:twoCellAnchor>
    <xdr:from>
      <xdr:col>1</xdr:col>
      <xdr:colOff>106363</xdr:colOff>
      <xdr:row>79</xdr:row>
      <xdr:rowOff>139700</xdr:rowOff>
    </xdr:from>
    <xdr:to>
      <xdr:col>2</xdr:col>
      <xdr:colOff>357188</xdr:colOff>
      <xdr:row>79</xdr:row>
      <xdr:rowOff>139700</xdr:rowOff>
    </xdr:to>
    <xdr:sp macro="" textlink="">
      <xdr:nvSpPr>
        <xdr:cNvPr id="534" name="Line 86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792163" y="17456150"/>
          <a:ext cx="9366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508000</xdr:colOff>
      <xdr:row>81</xdr:row>
      <xdr:rowOff>61912</xdr:rowOff>
    </xdr:from>
    <xdr:to>
      <xdr:col>4</xdr:col>
      <xdr:colOff>609600</xdr:colOff>
      <xdr:row>83</xdr:row>
      <xdr:rowOff>38100</xdr:rowOff>
    </xdr:to>
    <xdr:sp macro="" textlink="">
      <xdr:nvSpPr>
        <xdr:cNvPr id="535" name="Text Box 87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828800" y="19200812"/>
          <a:ext cx="1371600" cy="3317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A:566m</a:t>
          </a:r>
        </a:p>
      </xdr:txBody>
    </xdr:sp>
    <xdr:clientData/>
  </xdr:twoCellAnchor>
  <xdr:twoCellAnchor>
    <xdr:from>
      <xdr:col>1</xdr:col>
      <xdr:colOff>106363</xdr:colOff>
      <xdr:row>81</xdr:row>
      <xdr:rowOff>12700</xdr:rowOff>
    </xdr:from>
    <xdr:to>
      <xdr:col>8</xdr:col>
      <xdr:colOff>346075</xdr:colOff>
      <xdr:row>81</xdr:row>
      <xdr:rowOff>12700</xdr:rowOff>
    </xdr:to>
    <xdr:sp macro="" textlink="">
      <xdr:nvSpPr>
        <xdr:cNvPr id="536" name="Line 86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792163" y="17672050"/>
          <a:ext cx="5040312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398236</xdr:colOff>
      <xdr:row>43</xdr:row>
      <xdr:rowOff>163285</xdr:rowOff>
    </xdr:from>
    <xdr:to>
      <xdr:col>7</xdr:col>
      <xdr:colOff>77561</xdr:colOff>
      <xdr:row>50</xdr:row>
      <xdr:rowOff>65314</xdr:rowOff>
    </xdr:to>
    <xdr:sp macro="" textlink="">
      <xdr:nvSpPr>
        <xdr:cNvPr id="537" name="AutoShape 61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SpPr>
          <a:spLocks noChangeArrowheads="1"/>
        </xdr:cNvSpPr>
      </xdr:nvSpPr>
      <xdr:spPr bwMode="auto">
        <a:xfrm>
          <a:off x="398236" y="7130142"/>
          <a:ext cx="4011839" cy="1045029"/>
        </a:xfrm>
        <a:prstGeom prst="roundRect">
          <a:avLst>
            <a:gd name="adj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sz="1800" b="1">
              <a:solidFill>
                <a:sysClr val="windowText" lastClr="000000"/>
              </a:solidFill>
            </a:rPr>
            <a:t>規制パターン　④</a:t>
          </a:r>
          <a:endParaRPr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lang="ja-JP" altLang="en-US" sz="1800" b="1">
              <a:solidFill>
                <a:sysClr val="windowText" lastClr="000000"/>
              </a:solidFill>
            </a:rPr>
            <a:t>（開削工法のみ）</a:t>
          </a:r>
          <a:endParaRPr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lang="ja-JP" altLang="en-US" sz="1800" b="1"/>
            <a:t>管路部（一般部）［上流部］規制</a:t>
          </a:r>
          <a:endParaRPr lang="en-US" altLang="ja-JP" sz="1800" b="1"/>
        </a:p>
      </xdr:txBody>
    </xdr:sp>
    <xdr:clientData/>
  </xdr:twoCellAnchor>
  <xdr:twoCellAnchor>
    <xdr:from>
      <xdr:col>5</xdr:col>
      <xdr:colOff>311150</xdr:colOff>
      <xdr:row>108</xdr:row>
      <xdr:rowOff>136525</xdr:rowOff>
    </xdr:from>
    <xdr:to>
      <xdr:col>5</xdr:col>
      <xdr:colOff>600075</xdr:colOff>
      <xdr:row>110</xdr:row>
      <xdr:rowOff>61912</xdr:rowOff>
    </xdr:to>
    <xdr:sp macro="" textlink="">
      <xdr:nvSpPr>
        <xdr:cNvPr id="538" name="Rectangle 14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/>
        </xdr:cNvSpPr>
      </xdr:nvSpPr>
      <xdr:spPr bwMode="auto">
        <a:xfrm rot="18953430" flipH="1">
          <a:off x="11283950" y="15224125"/>
          <a:ext cx="288925" cy="268287"/>
        </a:xfrm>
        <a:prstGeom prst="rect">
          <a:avLst/>
        </a:prstGeom>
        <a:noFill/>
        <a:ln w="9525">
          <a:solidFill>
            <a:schemeClr val="tx1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</xdr:col>
      <xdr:colOff>106363</xdr:colOff>
      <xdr:row>107</xdr:row>
      <xdr:rowOff>20637</xdr:rowOff>
    </xdr:from>
    <xdr:to>
      <xdr:col>4</xdr:col>
      <xdr:colOff>566738</xdr:colOff>
      <xdr:row>107</xdr:row>
      <xdr:rowOff>20637</xdr:rowOff>
    </xdr:to>
    <xdr:sp macro="" textlink="">
      <xdr:nvSpPr>
        <xdr:cNvPr id="539" name="Line 15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ShapeType="1"/>
        </xdr:cNvSpPr>
      </xdr:nvSpPr>
      <xdr:spPr bwMode="auto">
        <a:xfrm>
          <a:off x="8335963" y="149367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347663</xdr:colOff>
      <xdr:row>107</xdr:row>
      <xdr:rowOff>20637</xdr:rowOff>
    </xdr:from>
    <xdr:to>
      <xdr:col>10</xdr:col>
      <xdr:colOff>53975</xdr:colOff>
      <xdr:row>107</xdr:row>
      <xdr:rowOff>20637</xdr:rowOff>
    </xdr:to>
    <xdr:sp macro="" textlink="">
      <xdr:nvSpPr>
        <xdr:cNvPr id="540" name="Line 16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ShapeType="1"/>
        </xdr:cNvSpPr>
      </xdr:nvSpPr>
      <xdr:spPr bwMode="auto">
        <a:xfrm>
          <a:off x="12006263" y="149367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93</xdr:row>
      <xdr:rowOff>44450</xdr:rowOff>
    </xdr:from>
    <xdr:to>
      <xdr:col>6</xdr:col>
      <xdr:colOff>203200</xdr:colOff>
      <xdr:row>106</xdr:row>
      <xdr:rowOff>47625</xdr:rowOff>
    </xdr:to>
    <xdr:sp macro="" textlink="">
      <xdr:nvSpPr>
        <xdr:cNvPr id="541" name="Line 17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ShapeType="1"/>
        </xdr:cNvSpPr>
      </xdr:nvSpPr>
      <xdr:spPr bwMode="auto">
        <a:xfrm rot="16200000">
          <a:off x="10745787" y="136763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25400</xdr:colOff>
      <xdr:row>93</xdr:row>
      <xdr:rowOff>44450</xdr:rowOff>
    </xdr:from>
    <xdr:to>
      <xdr:col>5</xdr:col>
      <xdr:colOff>25400</xdr:colOff>
      <xdr:row>106</xdr:row>
      <xdr:rowOff>47625</xdr:rowOff>
    </xdr:to>
    <xdr:sp macro="" textlink="">
      <xdr:nvSpPr>
        <xdr:cNvPr id="542" name="Line 1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ShapeType="1"/>
        </xdr:cNvSpPr>
      </xdr:nvSpPr>
      <xdr:spPr bwMode="auto">
        <a:xfrm rot="16200000">
          <a:off x="9882187" y="136763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568325</xdr:colOff>
      <xdr:row>106</xdr:row>
      <xdr:rowOff>47625</xdr:rowOff>
    </xdr:from>
    <xdr:to>
      <xdr:col>5</xdr:col>
      <xdr:colOff>25400</xdr:colOff>
      <xdr:row>107</xdr:row>
      <xdr:rowOff>20637</xdr:rowOff>
    </xdr:to>
    <xdr:sp macro="" textlink="">
      <xdr:nvSpPr>
        <xdr:cNvPr id="543" name="Arc 19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/>
        </xdr:cNvSpPr>
      </xdr:nvSpPr>
      <xdr:spPr bwMode="auto">
        <a:xfrm rot="5400000">
          <a:off x="10854532" y="147931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106</xdr:row>
      <xdr:rowOff>47625</xdr:rowOff>
    </xdr:from>
    <xdr:to>
      <xdr:col>6</xdr:col>
      <xdr:colOff>347663</xdr:colOff>
      <xdr:row>107</xdr:row>
      <xdr:rowOff>20637</xdr:rowOff>
    </xdr:to>
    <xdr:sp macro="" textlink="">
      <xdr:nvSpPr>
        <xdr:cNvPr id="544" name="Arc 20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/>
        </xdr:cNvSpPr>
      </xdr:nvSpPr>
      <xdr:spPr bwMode="auto">
        <a:xfrm rot="16200000" flipH="1">
          <a:off x="11862595" y="147931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112</xdr:row>
      <xdr:rowOff>28575</xdr:rowOff>
    </xdr:from>
    <xdr:to>
      <xdr:col>6</xdr:col>
      <xdr:colOff>347663</xdr:colOff>
      <xdr:row>113</xdr:row>
      <xdr:rowOff>0</xdr:rowOff>
    </xdr:to>
    <xdr:sp macro="" textlink="">
      <xdr:nvSpPr>
        <xdr:cNvPr id="545" name="Arc 21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/>
        </xdr:cNvSpPr>
      </xdr:nvSpPr>
      <xdr:spPr bwMode="auto">
        <a:xfrm flipH="1">
          <a:off x="11861800" y="15801975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568325</xdr:colOff>
      <xdr:row>112</xdr:row>
      <xdr:rowOff>26987</xdr:rowOff>
    </xdr:from>
    <xdr:to>
      <xdr:col>5</xdr:col>
      <xdr:colOff>25400</xdr:colOff>
      <xdr:row>113</xdr:row>
      <xdr:rowOff>0</xdr:rowOff>
    </xdr:to>
    <xdr:sp macro="" textlink="">
      <xdr:nvSpPr>
        <xdr:cNvPr id="546" name="Arc 22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/>
        </xdr:cNvSpPr>
      </xdr:nvSpPr>
      <xdr:spPr bwMode="auto">
        <a:xfrm rot="5400000" flipH="1">
          <a:off x="10854531" y="15801181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107950</xdr:colOff>
      <xdr:row>112</xdr:row>
      <xdr:rowOff>26987</xdr:rowOff>
    </xdr:from>
    <xdr:to>
      <xdr:col>4</xdr:col>
      <xdr:colOff>568325</xdr:colOff>
      <xdr:row>112</xdr:row>
      <xdr:rowOff>26987</xdr:rowOff>
    </xdr:to>
    <xdr:sp macro="" textlink="">
      <xdr:nvSpPr>
        <xdr:cNvPr id="547" name="Line 23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ShapeType="1"/>
        </xdr:cNvSpPr>
      </xdr:nvSpPr>
      <xdr:spPr bwMode="auto">
        <a:xfrm>
          <a:off x="8337550" y="158003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347663</xdr:colOff>
      <xdr:row>112</xdr:row>
      <xdr:rowOff>26987</xdr:rowOff>
    </xdr:from>
    <xdr:to>
      <xdr:col>10</xdr:col>
      <xdr:colOff>53975</xdr:colOff>
      <xdr:row>112</xdr:row>
      <xdr:rowOff>26987</xdr:rowOff>
    </xdr:to>
    <xdr:sp macro="" textlink="">
      <xdr:nvSpPr>
        <xdr:cNvPr id="548" name="Line 24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ShapeType="1"/>
        </xdr:cNvSpPr>
      </xdr:nvSpPr>
      <xdr:spPr bwMode="auto">
        <a:xfrm>
          <a:off x="12006263" y="158003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113</xdr:row>
      <xdr:rowOff>0</xdr:rowOff>
    </xdr:from>
    <xdr:to>
      <xdr:col>6</xdr:col>
      <xdr:colOff>203200</xdr:colOff>
      <xdr:row>126</xdr:row>
      <xdr:rowOff>3175</xdr:rowOff>
    </xdr:to>
    <xdr:sp macro="" textlink="">
      <xdr:nvSpPr>
        <xdr:cNvPr id="549" name="Line 25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ShapeType="1"/>
        </xdr:cNvSpPr>
      </xdr:nvSpPr>
      <xdr:spPr bwMode="auto">
        <a:xfrm rot="5400000" flipH="1">
          <a:off x="10745787" y="170608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25400</xdr:colOff>
      <xdr:row>113</xdr:row>
      <xdr:rowOff>0</xdr:rowOff>
    </xdr:from>
    <xdr:to>
      <xdr:col>5</xdr:col>
      <xdr:colOff>25400</xdr:colOff>
      <xdr:row>126</xdr:row>
      <xdr:rowOff>3175</xdr:rowOff>
    </xdr:to>
    <xdr:sp macro="" textlink="">
      <xdr:nvSpPr>
        <xdr:cNvPr id="550" name="Line 26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ShapeType="1"/>
        </xdr:cNvSpPr>
      </xdr:nvSpPr>
      <xdr:spPr bwMode="auto">
        <a:xfrm rot="16200000" flipV="1">
          <a:off x="9882187" y="170608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106363</xdr:colOff>
      <xdr:row>113</xdr:row>
      <xdr:rowOff>144462</xdr:rowOff>
    </xdr:from>
    <xdr:to>
      <xdr:col>5</xdr:col>
      <xdr:colOff>26988</xdr:colOff>
      <xdr:row>113</xdr:row>
      <xdr:rowOff>144462</xdr:rowOff>
    </xdr:to>
    <xdr:sp macro="" textlink="">
      <xdr:nvSpPr>
        <xdr:cNvPr id="551" name="Line 31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SpPr>
          <a:spLocks noChangeShapeType="1"/>
        </xdr:cNvSpPr>
      </xdr:nvSpPr>
      <xdr:spPr bwMode="auto">
        <a:xfrm>
          <a:off x="8335963" y="16089312"/>
          <a:ext cx="26638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113</xdr:row>
      <xdr:rowOff>144462</xdr:rowOff>
    </xdr:from>
    <xdr:to>
      <xdr:col>10</xdr:col>
      <xdr:colOff>53975</xdr:colOff>
      <xdr:row>113</xdr:row>
      <xdr:rowOff>144462</xdr:rowOff>
    </xdr:to>
    <xdr:sp macro="" textlink="">
      <xdr:nvSpPr>
        <xdr:cNvPr id="552" name="Line 33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SpPr>
          <a:spLocks noChangeShapeType="1"/>
        </xdr:cNvSpPr>
      </xdr:nvSpPr>
      <xdr:spPr bwMode="auto">
        <a:xfrm>
          <a:off x="11861800" y="16089312"/>
          <a:ext cx="259397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369348</xdr:colOff>
      <xdr:row>118</xdr:row>
      <xdr:rowOff>152400</xdr:rowOff>
    </xdr:from>
    <xdr:to>
      <xdr:col>7</xdr:col>
      <xdr:colOff>10065</xdr:colOff>
      <xdr:row>122</xdr:row>
      <xdr:rowOff>112712</xdr:rowOff>
    </xdr:to>
    <xdr:sp macro="" textlink="">
      <xdr:nvSpPr>
        <xdr:cNvPr id="553" name="Text Box 34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SpPr txBox="1">
          <a:spLocks noChangeArrowheads="1"/>
        </xdr:cNvSpPr>
      </xdr:nvSpPr>
      <xdr:spPr bwMode="auto">
        <a:xfrm rot="16200000">
          <a:off x="11080751" y="18600197"/>
          <a:ext cx="6715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312m</a:t>
          </a:r>
        </a:p>
      </xdr:txBody>
    </xdr:sp>
    <xdr:clientData/>
  </xdr:twoCellAnchor>
  <xdr:twoCellAnchor>
    <xdr:from>
      <xdr:col>7</xdr:col>
      <xdr:colOff>487363</xdr:colOff>
      <xdr:row>112</xdr:row>
      <xdr:rowOff>20637</xdr:rowOff>
    </xdr:from>
    <xdr:to>
      <xdr:col>8</xdr:col>
      <xdr:colOff>447675</xdr:colOff>
      <xdr:row>113</xdr:row>
      <xdr:rowOff>118554</xdr:rowOff>
    </xdr:to>
    <xdr:sp macro="" textlink="">
      <xdr:nvSpPr>
        <xdr:cNvPr id="554" name="Text Box 36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2031663" y="17203737"/>
          <a:ext cx="5953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543m</a:t>
          </a:r>
        </a:p>
      </xdr:txBody>
    </xdr:sp>
    <xdr:clientData/>
  </xdr:twoCellAnchor>
  <xdr:twoCellAnchor>
    <xdr:from>
      <xdr:col>7</xdr:col>
      <xdr:colOff>22225</xdr:colOff>
      <xdr:row>112</xdr:row>
      <xdr:rowOff>26987</xdr:rowOff>
    </xdr:from>
    <xdr:to>
      <xdr:col>7</xdr:col>
      <xdr:colOff>22225</xdr:colOff>
      <xdr:row>126</xdr:row>
      <xdr:rowOff>3175</xdr:rowOff>
    </xdr:to>
    <xdr:sp macro="" textlink="">
      <xdr:nvSpPr>
        <xdr:cNvPr id="555" name="Line 37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SpPr>
          <a:spLocks noChangeShapeType="1"/>
        </xdr:cNvSpPr>
      </xdr:nvSpPr>
      <xdr:spPr bwMode="auto">
        <a:xfrm rot="5400000">
          <a:off x="11178381" y="16988631"/>
          <a:ext cx="237648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7</xdr:col>
      <xdr:colOff>22225</xdr:colOff>
      <xdr:row>93</xdr:row>
      <xdr:rowOff>44450</xdr:rowOff>
    </xdr:from>
    <xdr:to>
      <xdr:col>7</xdr:col>
      <xdr:colOff>31750</xdr:colOff>
      <xdr:row>107</xdr:row>
      <xdr:rowOff>20637</xdr:rowOff>
    </xdr:to>
    <xdr:sp macro="" textlink="">
      <xdr:nvSpPr>
        <xdr:cNvPr id="556" name="Line 38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SpPr>
          <a:spLocks noChangeShapeType="1"/>
        </xdr:cNvSpPr>
      </xdr:nvSpPr>
      <xdr:spPr bwMode="auto">
        <a:xfrm rot="5400000">
          <a:off x="11183144" y="13743781"/>
          <a:ext cx="2376487" cy="9525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369348</xdr:colOff>
      <xdr:row>99</xdr:row>
      <xdr:rowOff>147637</xdr:rowOff>
    </xdr:from>
    <xdr:to>
      <xdr:col>7</xdr:col>
      <xdr:colOff>10065</xdr:colOff>
      <xdr:row>103</xdr:row>
      <xdr:rowOff>109537</xdr:rowOff>
    </xdr:to>
    <xdr:sp macro="" textlink="">
      <xdr:nvSpPr>
        <xdr:cNvPr id="557" name="Text Box 39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SpPr txBox="1">
          <a:spLocks noChangeArrowheads="1"/>
        </xdr:cNvSpPr>
      </xdr:nvSpPr>
      <xdr:spPr bwMode="auto">
        <a:xfrm rot="16200000">
          <a:off x="11079957" y="15218028"/>
          <a:ext cx="673100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250m</a:t>
          </a:r>
        </a:p>
      </xdr:txBody>
    </xdr:sp>
    <xdr:clientData/>
  </xdr:twoCellAnchor>
  <xdr:twoCellAnchor>
    <xdr:from>
      <xdr:col>2</xdr:col>
      <xdr:colOff>355600</xdr:colOff>
      <xdr:row>112</xdr:row>
      <xdr:rowOff>20637</xdr:rowOff>
    </xdr:from>
    <xdr:to>
      <xdr:col>3</xdr:col>
      <xdr:colOff>315913</xdr:colOff>
      <xdr:row>113</xdr:row>
      <xdr:rowOff>118554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8724900" y="17203737"/>
          <a:ext cx="595313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456m</a:t>
          </a:r>
        </a:p>
      </xdr:txBody>
    </xdr:sp>
    <xdr:clientData/>
  </xdr:twoCellAnchor>
  <xdr:twoCellAnchor>
    <xdr:from>
      <xdr:col>6</xdr:col>
      <xdr:colOff>347663</xdr:colOff>
      <xdr:row>107</xdr:row>
      <xdr:rowOff>92075</xdr:rowOff>
    </xdr:from>
    <xdr:to>
      <xdr:col>7</xdr:col>
      <xdr:colOff>28575</xdr:colOff>
      <xdr:row>111</xdr:row>
      <xdr:rowOff>53975</xdr:rowOff>
    </xdr:to>
    <xdr:sp macro="" textlink="">
      <xdr:nvSpPr>
        <xdr:cNvPr id="559" name="Text Box 64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SpPr txBox="1">
          <a:spLocks noChangeArrowheads="1"/>
        </xdr:cNvSpPr>
      </xdr:nvSpPr>
      <xdr:spPr bwMode="auto">
        <a:xfrm rot="16200000">
          <a:off x="11865769" y="15148719"/>
          <a:ext cx="64770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7</xdr:col>
      <xdr:colOff>22225</xdr:colOff>
      <xdr:row>107</xdr:row>
      <xdr:rowOff>20637</xdr:rowOff>
    </xdr:from>
    <xdr:to>
      <xdr:col>7</xdr:col>
      <xdr:colOff>22225</xdr:colOff>
      <xdr:row>112</xdr:row>
      <xdr:rowOff>26987</xdr:rowOff>
    </xdr:to>
    <xdr:sp macro="" textlink="">
      <xdr:nvSpPr>
        <xdr:cNvPr id="560" name="Line 65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SpPr>
          <a:spLocks noChangeShapeType="1"/>
        </xdr:cNvSpPr>
      </xdr:nvSpPr>
      <xdr:spPr bwMode="auto">
        <a:xfrm rot="5400000">
          <a:off x="11934825" y="15368587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458788</xdr:colOff>
      <xdr:row>110</xdr:row>
      <xdr:rowOff>153987</xdr:rowOff>
    </xdr:from>
    <xdr:to>
      <xdr:col>6</xdr:col>
      <xdr:colOff>60325</xdr:colOff>
      <xdr:row>112</xdr:row>
      <xdr:rowOff>26987</xdr:rowOff>
    </xdr:to>
    <xdr:sp macro="" textlink="">
      <xdr:nvSpPr>
        <xdr:cNvPr id="561" name="Rectangle 76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SpPr>
          <a:spLocks noChangeArrowheads="1"/>
        </xdr:cNvSpPr>
      </xdr:nvSpPr>
      <xdr:spPr bwMode="auto">
        <a:xfrm>
          <a:off x="11431588" y="15584487"/>
          <a:ext cx="287337" cy="215900"/>
        </a:xfrm>
        <a:prstGeom prst="rect">
          <a:avLst/>
        </a:prstGeom>
        <a:solidFill>
          <a:srgbClr val="FF0066"/>
        </a:solidFill>
        <a:ln w="9525">
          <a:solidFill>
            <a:schemeClr val="bg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2</xdr:col>
      <xdr:colOff>427038</xdr:colOff>
      <xdr:row>116</xdr:row>
      <xdr:rowOff>55562</xdr:rowOff>
    </xdr:from>
    <xdr:to>
      <xdr:col>5</xdr:col>
      <xdr:colOff>25400</xdr:colOff>
      <xdr:row>116</xdr:row>
      <xdr:rowOff>61912</xdr:rowOff>
    </xdr:to>
    <xdr:sp macro="" textlink="">
      <xdr:nvSpPr>
        <xdr:cNvPr id="562" name="Line 79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9342438" y="16514762"/>
          <a:ext cx="1655762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25400</xdr:colOff>
      <xdr:row>116</xdr:row>
      <xdr:rowOff>55562</xdr:rowOff>
    </xdr:from>
    <xdr:to>
      <xdr:col>6</xdr:col>
      <xdr:colOff>203200</xdr:colOff>
      <xdr:row>116</xdr:row>
      <xdr:rowOff>55562</xdr:rowOff>
    </xdr:to>
    <xdr:sp macro="" textlink="">
      <xdr:nvSpPr>
        <xdr:cNvPr id="563" name="Line 80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SpPr>
          <a:spLocks noChangeShapeType="1"/>
        </xdr:cNvSpPr>
      </xdr:nvSpPr>
      <xdr:spPr bwMode="auto">
        <a:xfrm>
          <a:off x="10998200" y="16514762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203200</xdr:colOff>
      <xdr:row>116</xdr:row>
      <xdr:rowOff>55562</xdr:rowOff>
    </xdr:from>
    <xdr:to>
      <xdr:col>8</xdr:col>
      <xdr:colOff>344488</xdr:colOff>
      <xdr:row>116</xdr:row>
      <xdr:rowOff>61912</xdr:rowOff>
    </xdr:to>
    <xdr:sp macro="" textlink="">
      <xdr:nvSpPr>
        <xdr:cNvPr id="564" name="Line 81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SpPr>
          <a:spLocks noChangeShapeType="1"/>
        </xdr:cNvSpPr>
      </xdr:nvSpPr>
      <xdr:spPr bwMode="auto">
        <a:xfrm>
          <a:off x="11861800" y="16514762"/>
          <a:ext cx="1512888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176213</xdr:colOff>
      <xdr:row>114</xdr:row>
      <xdr:rowOff>44450</xdr:rowOff>
    </xdr:from>
    <xdr:to>
      <xdr:col>6</xdr:col>
      <xdr:colOff>17463</xdr:colOff>
      <xdr:row>116</xdr:row>
      <xdr:rowOff>68262</xdr:rowOff>
    </xdr:to>
    <xdr:sp macro="" textlink="">
      <xdr:nvSpPr>
        <xdr:cNvPr id="565" name="Text Box 82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1149013" y="161607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7</xdr:col>
      <xdr:colOff>103188</xdr:colOff>
      <xdr:row>114</xdr:row>
      <xdr:rowOff>44450</xdr:rowOff>
    </xdr:from>
    <xdr:to>
      <xdr:col>7</xdr:col>
      <xdr:colOff>630238</xdr:colOff>
      <xdr:row>116</xdr:row>
      <xdr:rowOff>68262</xdr:rowOff>
    </xdr:to>
    <xdr:sp macro="" textlink="">
      <xdr:nvSpPr>
        <xdr:cNvPr id="566" name="Text Box 83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2447588" y="161607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3</xdr:col>
      <xdr:colOff>173038</xdr:colOff>
      <xdr:row>114</xdr:row>
      <xdr:rowOff>44450</xdr:rowOff>
    </xdr:from>
    <xdr:to>
      <xdr:col>4</xdr:col>
      <xdr:colOff>14288</xdr:colOff>
      <xdr:row>116</xdr:row>
      <xdr:rowOff>68262</xdr:rowOff>
    </xdr:to>
    <xdr:sp macro="" textlink="">
      <xdr:nvSpPr>
        <xdr:cNvPr id="567" name="Text Box 84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9774238" y="161607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2</xdr:col>
      <xdr:colOff>139700</xdr:colOff>
      <xdr:row>116</xdr:row>
      <xdr:rowOff>61912</xdr:rowOff>
    </xdr:from>
    <xdr:to>
      <xdr:col>2</xdr:col>
      <xdr:colOff>427038</xdr:colOff>
      <xdr:row>116</xdr:row>
      <xdr:rowOff>61912</xdr:rowOff>
    </xdr:to>
    <xdr:sp macro="" textlink="">
      <xdr:nvSpPr>
        <xdr:cNvPr id="568" name="Line 86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9055100" y="16521112"/>
          <a:ext cx="28733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681038</xdr:colOff>
      <xdr:row>114</xdr:row>
      <xdr:rowOff>50800</xdr:rowOff>
    </xdr:from>
    <xdr:to>
      <xdr:col>2</xdr:col>
      <xdr:colOff>522288</xdr:colOff>
      <xdr:row>116</xdr:row>
      <xdr:rowOff>74612</xdr:rowOff>
    </xdr:to>
    <xdr:sp macro="" textlink="">
      <xdr:nvSpPr>
        <xdr:cNvPr id="569" name="Text Box 87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8910638" y="1616710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8</xdr:col>
      <xdr:colOff>344488</xdr:colOff>
      <xdr:row>116</xdr:row>
      <xdr:rowOff>61912</xdr:rowOff>
    </xdr:from>
    <xdr:to>
      <xdr:col>8</xdr:col>
      <xdr:colOff>633413</xdr:colOff>
      <xdr:row>116</xdr:row>
      <xdr:rowOff>61912</xdr:rowOff>
    </xdr:to>
    <xdr:sp macro="" textlink="">
      <xdr:nvSpPr>
        <xdr:cNvPr id="570" name="Line 88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13374688" y="16521112"/>
          <a:ext cx="2889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8</xdr:col>
      <xdr:colOff>200025</xdr:colOff>
      <xdr:row>114</xdr:row>
      <xdr:rowOff>44450</xdr:rowOff>
    </xdr:from>
    <xdr:to>
      <xdr:col>9</xdr:col>
      <xdr:colOff>41275</xdr:colOff>
      <xdr:row>116</xdr:row>
      <xdr:rowOff>68262</xdr:rowOff>
    </xdr:to>
    <xdr:sp macro="" textlink="">
      <xdr:nvSpPr>
        <xdr:cNvPr id="571" name="Text Box 89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13230225" y="161607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5</xdr:col>
      <xdr:colOff>457200</xdr:colOff>
      <xdr:row>98</xdr:row>
      <xdr:rowOff>165100</xdr:rowOff>
    </xdr:from>
    <xdr:to>
      <xdr:col>5</xdr:col>
      <xdr:colOff>457200</xdr:colOff>
      <xdr:row>107</xdr:row>
      <xdr:rowOff>20637</xdr:rowOff>
    </xdr:to>
    <xdr:sp macro="" textlink="">
      <xdr:nvSpPr>
        <xdr:cNvPr id="572" name="Line 90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SpPr>
          <a:spLocks noChangeShapeType="1"/>
        </xdr:cNvSpPr>
      </xdr:nvSpPr>
      <xdr:spPr bwMode="auto">
        <a:xfrm>
          <a:off x="10731500" y="14859000"/>
          <a:ext cx="0" cy="145573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439738</xdr:colOff>
      <xdr:row>112</xdr:row>
      <xdr:rowOff>26987</xdr:rowOff>
    </xdr:from>
    <xdr:to>
      <xdr:col>5</xdr:col>
      <xdr:colOff>457200</xdr:colOff>
      <xdr:row>123</xdr:row>
      <xdr:rowOff>157162</xdr:rowOff>
    </xdr:to>
    <xdr:sp macro="" textlink="">
      <xdr:nvSpPr>
        <xdr:cNvPr id="573" name="Line 91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SpPr>
          <a:spLocks noChangeShapeType="1"/>
        </xdr:cNvSpPr>
      </xdr:nvSpPr>
      <xdr:spPr bwMode="auto">
        <a:xfrm flipH="1">
          <a:off x="11412538" y="15800387"/>
          <a:ext cx="17462" cy="2016125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176213</xdr:colOff>
      <xdr:row>109</xdr:row>
      <xdr:rowOff>109537</xdr:rowOff>
    </xdr:from>
    <xdr:to>
      <xdr:col>5</xdr:col>
      <xdr:colOff>25400</xdr:colOff>
      <xdr:row>109</xdr:row>
      <xdr:rowOff>109537</xdr:rowOff>
    </xdr:to>
    <xdr:sp macro="" textlink="">
      <xdr:nvSpPr>
        <xdr:cNvPr id="574" name="Line 92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SpPr>
          <a:spLocks noChangeShapeType="1"/>
        </xdr:cNvSpPr>
      </xdr:nvSpPr>
      <xdr:spPr bwMode="auto">
        <a:xfrm rot="5400000" flipV="1">
          <a:off x="9702007" y="140723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109</xdr:row>
      <xdr:rowOff>109537</xdr:rowOff>
    </xdr:from>
    <xdr:to>
      <xdr:col>10</xdr:col>
      <xdr:colOff>53975</xdr:colOff>
      <xdr:row>109</xdr:row>
      <xdr:rowOff>109537</xdr:rowOff>
    </xdr:to>
    <xdr:sp macro="" textlink="">
      <xdr:nvSpPr>
        <xdr:cNvPr id="575" name="Line 93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SpPr>
          <a:spLocks noChangeShapeType="1"/>
        </xdr:cNvSpPr>
      </xdr:nvSpPr>
      <xdr:spPr bwMode="auto">
        <a:xfrm rot="5400000" flipV="1">
          <a:off x="13159582" y="140723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673100</xdr:colOff>
      <xdr:row>95</xdr:row>
      <xdr:rowOff>133350</xdr:rowOff>
    </xdr:from>
    <xdr:to>
      <xdr:col>5</xdr:col>
      <xdr:colOff>673100</xdr:colOff>
      <xdr:row>107</xdr:row>
      <xdr:rowOff>20637</xdr:rowOff>
    </xdr:to>
    <xdr:sp macro="" textlink="">
      <xdr:nvSpPr>
        <xdr:cNvPr id="576" name="Line 94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SpPr>
          <a:spLocks noChangeShapeType="1"/>
        </xdr:cNvSpPr>
      </xdr:nvSpPr>
      <xdr:spPr bwMode="auto">
        <a:xfrm flipH="1">
          <a:off x="11645900" y="12992100"/>
          <a:ext cx="0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241300</xdr:colOff>
      <xdr:row>95</xdr:row>
      <xdr:rowOff>133350</xdr:rowOff>
    </xdr:from>
    <xdr:to>
      <xdr:col>5</xdr:col>
      <xdr:colOff>258763</xdr:colOff>
      <xdr:row>107</xdr:row>
      <xdr:rowOff>20637</xdr:rowOff>
    </xdr:to>
    <xdr:sp macro="" textlink="">
      <xdr:nvSpPr>
        <xdr:cNvPr id="577" name="Line 95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SpPr>
          <a:spLocks noChangeShapeType="1"/>
        </xdr:cNvSpPr>
      </xdr:nvSpPr>
      <xdr:spPr bwMode="auto">
        <a:xfrm flipH="1">
          <a:off x="11214100" y="12992100"/>
          <a:ext cx="17463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673100</xdr:colOff>
      <xdr:row>112</xdr:row>
      <xdr:rowOff>26987</xdr:rowOff>
    </xdr:from>
    <xdr:to>
      <xdr:col>5</xdr:col>
      <xdr:colOff>674688</xdr:colOff>
      <xdr:row>124</xdr:row>
      <xdr:rowOff>57150</xdr:rowOff>
    </xdr:to>
    <xdr:sp macro="" textlink="">
      <xdr:nvSpPr>
        <xdr:cNvPr id="578" name="Line 96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SpPr>
          <a:spLocks noChangeShapeType="1"/>
        </xdr:cNvSpPr>
      </xdr:nvSpPr>
      <xdr:spPr bwMode="auto">
        <a:xfrm flipH="1">
          <a:off x="11645900" y="15800387"/>
          <a:ext cx="1588" cy="2087563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241300</xdr:colOff>
      <xdr:row>112</xdr:row>
      <xdr:rowOff>26987</xdr:rowOff>
    </xdr:from>
    <xdr:to>
      <xdr:col>5</xdr:col>
      <xdr:colOff>242888</xdr:colOff>
      <xdr:row>123</xdr:row>
      <xdr:rowOff>157162</xdr:rowOff>
    </xdr:to>
    <xdr:sp macro="" textlink="">
      <xdr:nvSpPr>
        <xdr:cNvPr id="579" name="Line 97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SpPr>
          <a:spLocks noChangeShapeType="1"/>
        </xdr:cNvSpPr>
      </xdr:nvSpPr>
      <xdr:spPr bwMode="auto">
        <a:xfrm flipH="1">
          <a:off x="11214100" y="15800387"/>
          <a:ext cx="1588" cy="2016125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176213</xdr:colOff>
      <xdr:row>110</xdr:row>
      <xdr:rowOff>153987</xdr:rowOff>
    </xdr:from>
    <xdr:to>
      <xdr:col>5</xdr:col>
      <xdr:colOff>25400</xdr:colOff>
      <xdr:row>110</xdr:row>
      <xdr:rowOff>153987</xdr:rowOff>
    </xdr:to>
    <xdr:sp macro="" textlink="">
      <xdr:nvSpPr>
        <xdr:cNvPr id="580" name="Line 98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SpPr>
          <a:spLocks noChangeShapeType="1"/>
        </xdr:cNvSpPr>
      </xdr:nvSpPr>
      <xdr:spPr bwMode="auto">
        <a:xfrm rot="16200000">
          <a:off x="9702007" y="142882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176213</xdr:colOff>
      <xdr:row>108</xdr:row>
      <xdr:rowOff>65087</xdr:rowOff>
    </xdr:from>
    <xdr:to>
      <xdr:col>5</xdr:col>
      <xdr:colOff>25400</xdr:colOff>
      <xdr:row>108</xdr:row>
      <xdr:rowOff>65087</xdr:rowOff>
    </xdr:to>
    <xdr:sp macro="" textlink="">
      <xdr:nvSpPr>
        <xdr:cNvPr id="581" name="Line 99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SpPr>
          <a:spLocks noChangeShapeType="1"/>
        </xdr:cNvSpPr>
      </xdr:nvSpPr>
      <xdr:spPr bwMode="auto">
        <a:xfrm rot="16200000">
          <a:off x="9702007" y="138564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110</xdr:row>
      <xdr:rowOff>153987</xdr:rowOff>
    </xdr:from>
    <xdr:to>
      <xdr:col>10</xdr:col>
      <xdr:colOff>53975</xdr:colOff>
      <xdr:row>110</xdr:row>
      <xdr:rowOff>153987</xdr:rowOff>
    </xdr:to>
    <xdr:sp macro="" textlink="">
      <xdr:nvSpPr>
        <xdr:cNvPr id="582" name="Line 100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SpPr>
          <a:spLocks noChangeShapeType="1"/>
        </xdr:cNvSpPr>
      </xdr:nvSpPr>
      <xdr:spPr bwMode="auto">
        <a:xfrm rot="16200000">
          <a:off x="13159582" y="142882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6</xdr:col>
      <xdr:colOff>204788</xdr:colOff>
      <xdr:row>108</xdr:row>
      <xdr:rowOff>65087</xdr:rowOff>
    </xdr:from>
    <xdr:to>
      <xdr:col>10</xdr:col>
      <xdr:colOff>53975</xdr:colOff>
      <xdr:row>108</xdr:row>
      <xdr:rowOff>65087</xdr:rowOff>
    </xdr:to>
    <xdr:sp macro="" textlink="">
      <xdr:nvSpPr>
        <xdr:cNvPr id="583" name="Line 101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SpPr>
          <a:spLocks noChangeShapeType="1"/>
        </xdr:cNvSpPr>
      </xdr:nvSpPr>
      <xdr:spPr bwMode="auto">
        <a:xfrm rot="16200000">
          <a:off x="13159582" y="138564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360363</xdr:colOff>
      <xdr:row>108</xdr:row>
      <xdr:rowOff>39687</xdr:rowOff>
    </xdr:from>
    <xdr:to>
      <xdr:col>1</xdr:col>
      <xdr:colOff>66675</xdr:colOff>
      <xdr:row>110</xdr:row>
      <xdr:rowOff>163512</xdr:rowOff>
    </xdr:to>
    <xdr:sp macro="" textlink="">
      <xdr:nvSpPr>
        <xdr:cNvPr id="584" name="Text Box 107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7904163" y="15127287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１</a:t>
          </a:r>
        </a:p>
      </xdr:txBody>
    </xdr:sp>
    <xdr:clientData/>
  </xdr:twoCellAnchor>
  <xdr:twoCellAnchor>
    <xdr:from>
      <xdr:col>10</xdr:col>
      <xdr:colOff>53975</xdr:colOff>
      <xdr:row>108</xdr:row>
      <xdr:rowOff>39687</xdr:rowOff>
    </xdr:from>
    <xdr:to>
      <xdr:col>10</xdr:col>
      <xdr:colOff>446088</xdr:colOff>
      <xdr:row>110</xdr:row>
      <xdr:rowOff>163512</xdr:rowOff>
    </xdr:to>
    <xdr:sp macro="" textlink="">
      <xdr:nvSpPr>
        <xdr:cNvPr id="585" name="Text Box 108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4455775" y="15127287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３</a:t>
          </a:r>
        </a:p>
      </xdr:txBody>
    </xdr:sp>
    <xdr:clientData/>
  </xdr:twoCellAnchor>
  <xdr:twoCellAnchor>
    <xdr:from>
      <xdr:col>5</xdr:col>
      <xdr:colOff>242888</xdr:colOff>
      <xdr:row>95</xdr:row>
      <xdr:rowOff>139700</xdr:rowOff>
    </xdr:from>
    <xdr:to>
      <xdr:col>5</xdr:col>
      <xdr:colOff>625475</xdr:colOff>
      <xdr:row>98</xdr:row>
      <xdr:rowOff>85725</xdr:rowOff>
    </xdr:to>
    <xdr:sp macro="" textlink="">
      <xdr:nvSpPr>
        <xdr:cNvPr id="586" name="Text Box 109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10517188" y="14300200"/>
          <a:ext cx="382587" cy="4794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４</a:t>
          </a:r>
        </a:p>
      </xdr:txBody>
    </xdr:sp>
    <xdr:clientData/>
  </xdr:twoCellAnchor>
  <xdr:twoCellAnchor>
    <xdr:from>
      <xdr:col>5</xdr:col>
      <xdr:colOff>242888</xdr:colOff>
      <xdr:row>124</xdr:row>
      <xdr:rowOff>57150</xdr:rowOff>
    </xdr:from>
    <xdr:to>
      <xdr:col>5</xdr:col>
      <xdr:colOff>635000</xdr:colOff>
      <xdr:row>127</xdr:row>
      <xdr:rowOff>9525</xdr:rowOff>
    </xdr:to>
    <xdr:sp macro="" textlink="">
      <xdr:nvSpPr>
        <xdr:cNvPr id="587" name="Text Box 110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11215688" y="17887950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５</a:t>
          </a:r>
        </a:p>
      </xdr:txBody>
    </xdr:sp>
    <xdr:clientData/>
  </xdr:twoCellAnchor>
  <xdr:twoCellAnchor>
    <xdr:from>
      <xdr:col>5</xdr:col>
      <xdr:colOff>282575</xdr:colOff>
      <xdr:row>108</xdr:row>
      <xdr:rowOff>30162</xdr:rowOff>
    </xdr:from>
    <xdr:to>
      <xdr:col>5</xdr:col>
      <xdr:colOff>674688</xdr:colOff>
      <xdr:row>110</xdr:row>
      <xdr:rowOff>153987</xdr:rowOff>
    </xdr:to>
    <xdr:sp macro="" textlink="">
      <xdr:nvSpPr>
        <xdr:cNvPr id="588" name="Text Box 107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1255375" y="15117762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2400"/>
            <a:t>2</a:t>
          </a:r>
          <a:endParaRPr lang="ja-JP" altLang="en-US" sz="2400"/>
        </a:p>
      </xdr:txBody>
    </xdr:sp>
    <xdr:clientData/>
  </xdr:twoCellAnchor>
  <xdr:twoCellAnchor>
    <xdr:from>
      <xdr:col>1</xdr:col>
      <xdr:colOff>106363</xdr:colOff>
      <xdr:row>101</xdr:row>
      <xdr:rowOff>41275</xdr:rowOff>
    </xdr:from>
    <xdr:to>
      <xdr:col>1</xdr:col>
      <xdr:colOff>106363</xdr:colOff>
      <xdr:row>125</xdr:row>
      <xdr:rowOff>103187</xdr:rowOff>
    </xdr:to>
    <xdr:sp macro="" textlink="">
      <xdr:nvSpPr>
        <xdr:cNvPr id="589" name="Line 55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SpPr>
          <a:spLocks noChangeShapeType="1"/>
        </xdr:cNvSpPr>
      </xdr:nvSpPr>
      <xdr:spPr bwMode="auto">
        <a:xfrm>
          <a:off x="8335963" y="13928725"/>
          <a:ext cx="0" cy="4176712"/>
        </a:xfrm>
        <a:prstGeom prst="line">
          <a:avLst/>
        </a:prstGeom>
        <a:noFill/>
        <a:ln w="12700">
          <a:solidFill>
            <a:schemeClr val="tx1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530225</xdr:colOff>
      <xdr:row>97</xdr:row>
      <xdr:rowOff>57150</xdr:rowOff>
    </xdr:from>
    <xdr:to>
      <xdr:col>1</xdr:col>
      <xdr:colOff>303213</xdr:colOff>
      <xdr:row>101</xdr:row>
      <xdr:rowOff>149225</xdr:rowOff>
    </xdr:to>
    <xdr:sp macro="" textlink="">
      <xdr:nvSpPr>
        <xdr:cNvPr id="590" name="Text Box 56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7378700" y="15316200"/>
          <a:ext cx="382588" cy="777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/>
            <a:t>基準線</a:t>
          </a:r>
        </a:p>
      </xdr:txBody>
    </xdr:sp>
    <xdr:clientData/>
  </xdr:twoCellAnchor>
  <xdr:twoCellAnchor>
    <xdr:from>
      <xdr:col>1</xdr:col>
      <xdr:colOff>106363</xdr:colOff>
      <xdr:row>121</xdr:row>
      <xdr:rowOff>139700</xdr:rowOff>
    </xdr:from>
    <xdr:to>
      <xdr:col>2</xdr:col>
      <xdr:colOff>357188</xdr:colOff>
      <xdr:row>121</xdr:row>
      <xdr:rowOff>139700</xdr:rowOff>
    </xdr:to>
    <xdr:sp macro="" textlink="">
      <xdr:nvSpPr>
        <xdr:cNvPr id="592" name="Line 86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8335963" y="17456150"/>
          <a:ext cx="9366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106363</xdr:colOff>
      <xdr:row>123</xdr:row>
      <xdr:rowOff>12700</xdr:rowOff>
    </xdr:from>
    <xdr:to>
      <xdr:col>8</xdr:col>
      <xdr:colOff>346075</xdr:colOff>
      <xdr:row>123</xdr:row>
      <xdr:rowOff>12700</xdr:rowOff>
    </xdr:to>
    <xdr:sp macro="" textlink="">
      <xdr:nvSpPr>
        <xdr:cNvPr id="594" name="Line 86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8335963" y="17672050"/>
          <a:ext cx="5040312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629554</xdr:colOff>
      <xdr:row>86</xdr:row>
      <xdr:rowOff>54424</xdr:rowOff>
    </xdr:from>
    <xdr:to>
      <xdr:col>6</xdr:col>
      <xdr:colOff>299354</xdr:colOff>
      <xdr:row>92</xdr:row>
      <xdr:rowOff>65311</xdr:rowOff>
    </xdr:to>
    <xdr:sp macro="" textlink="">
      <xdr:nvSpPr>
        <xdr:cNvPr id="595" name="AutoShape 61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29554" y="14042567"/>
          <a:ext cx="3392714" cy="990601"/>
        </a:xfrm>
        <a:prstGeom prst="roundRect">
          <a:avLst>
            <a:gd name="adj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endParaRPr lang="en-US" altLang="ja-JP" sz="1800" b="1"/>
        </a:p>
        <a:p>
          <a:pPr algn="ctr"/>
          <a:r>
            <a:rPr lang="ja-JP" altLang="en-US" sz="1800" b="1">
              <a:solidFill>
                <a:sysClr val="windowText" lastClr="000000"/>
              </a:solidFill>
            </a:rPr>
            <a:t>規制パターン　⑤</a:t>
          </a:r>
          <a:endParaRPr lang="en-US" altLang="ja-JP" sz="1800" b="1">
            <a:solidFill>
              <a:sysClr val="windowText" lastClr="000000"/>
            </a:solidFill>
          </a:endParaRP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ysClr val="windowText" lastClr="000000"/>
              </a:solidFill>
            </a:rPr>
            <a:t>　（開削工法のみ）</a:t>
          </a:r>
          <a:endParaRPr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lang="ja-JP" altLang="en-US" sz="1800" b="1">
              <a:solidFill>
                <a:sysClr val="windowText" lastClr="000000"/>
              </a:solidFill>
            </a:rPr>
            <a:t>管路部（交差点部）規制</a:t>
          </a:r>
          <a:endParaRPr lang="en-US" altLang="ja-JP" sz="1800" b="1">
            <a:solidFill>
              <a:sysClr val="windowText" lastClr="000000"/>
            </a:solidFill>
          </a:endParaRPr>
        </a:p>
        <a:p>
          <a:pPr algn="ctr"/>
          <a:endParaRPr lang="ja-JP" altLang="en-US" sz="1800" b="1"/>
        </a:p>
      </xdr:txBody>
    </xdr:sp>
    <xdr:clientData/>
  </xdr:twoCellAnchor>
  <xdr:twoCellAnchor>
    <xdr:from>
      <xdr:col>17</xdr:col>
      <xdr:colOff>263525</xdr:colOff>
      <xdr:row>24</xdr:row>
      <xdr:rowOff>85725</xdr:rowOff>
    </xdr:from>
    <xdr:to>
      <xdr:col>17</xdr:col>
      <xdr:colOff>552450</xdr:colOff>
      <xdr:row>26</xdr:row>
      <xdr:rowOff>4762</xdr:rowOff>
    </xdr:to>
    <xdr:sp macro="" textlink="">
      <xdr:nvSpPr>
        <xdr:cNvPr id="421" name="Rectangle 14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SpPr>
          <a:spLocks noChangeArrowheads="1"/>
        </xdr:cNvSpPr>
      </xdr:nvSpPr>
      <xdr:spPr bwMode="auto">
        <a:xfrm rot="18953430" flipH="1">
          <a:off x="11185525" y="2879725"/>
          <a:ext cx="288925" cy="268287"/>
        </a:xfrm>
        <a:prstGeom prst="rect">
          <a:avLst/>
        </a:prstGeom>
        <a:noFill/>
        <a:ln w="9525">
          <a:solidFill>
            <a:schemeClr val="tx1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13</xdr:col>
      <xdr:colOff>46038</xdr:colOff>
      <xdr:row>22</xdr:row>
      <xdr:rowOff>147637</xdr:rowOff>
    </xdr:from>
    <xdr:to>
      <xdr:col>16</xdr:col>
      <xdr:colOff>515938</xdr:colOff>
      <xdr:row>22</xdr:row>
      <xdr:rowOff>147637</xdr:rowOff>
    </xdr:to>
    <xdr:sp macro="" textlink="">
      <xdr:nvSpPr>
        <xdr:cNvPr id="422" name="Line 15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SpPr>
          <a:spLocks noChangeShapeType="1"/>
        </xdr:cNvSpPr>
      </xdr:nvSpPr>
      <xdr:spPr bwMode="auto">
        <a:xfrm>
          <a:off x="8237538" y="25923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303213</xdr:colOff>
      <xdr:row>22</xdr:row>
      <xdr:rowOff>147637</xdr:rowOff>
    </xdr:from>
    <xdr:to>
      <xdr:col>22</xdr:col>
      <xdr:colOff>22225</xdr:colOff>
      <xdr:row>22</xdr:row>
      <xdr:rowOff>147637</xdr:rowOff>
    </xdr:to>
    <xdr:sp macro="" textlink="">
      <xdr:nvSpPr>
        <xdr:cNvPr id="423" name="Line 16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SpPr>
          <a:spLocks noChangeShapeType="1"/>
        </xdr:cNvSpPr>
      </xdr:nvSpPr>
      <xdr:spPr bwMode="auto">
        <a:xfrm>
          <a:off x="11907838" y="25923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158750</xdr:colOff>
      <xdr:row>9</xdr:row>
      <xdr:rowOff>41275</xdr:rowOff>
    </xdr:from>
    <xdr:to>
      <xdr:col>18</xdr:col>
      <xdr:colOff>158750</xdr:colOff>
      <xdr:row>22</xdr:row>
      <xdr:rowOff>3175</xdr:rowOff>
    </xdr:to>
    <xdr:sp macro="" textlink="">
      <xdr:nvSpPr>
        <xdr:cNvPr id="424" name="Line 17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SpPr>
          <a:spLocks noChangeShapeType="1"/>
        </xdr:cNvSpPr>
      </xdr:nvSpPr>
      <xdr:spPr bwMode="auto">
        <a:xfrm rot="-5400000">
          <a:off x="10647362" y="13319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16</xdr:col>
      <xdr:colOff>660400</xdr:colOff>
      <xdr:row>9</xdr:row>
      <xdr:rowOff>41275</xdr:rowOff>
    </xdr:from>
    <xdr:to>
      <xdr:col>16</xdr:col>
      <xdr:colOff>660400</xdr:colOff>
      <xdr:row>22</xdr:row>
      <xdr:rowOff>3175</xdr:rowOff>
    </xdr:to>
    <xdr:sp macro="" textlink="">
      <xdr:nvSpPr>
        <xdr:cNvPr id="425" name="Line 18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SpPr>
          <a:spLocks noChangeShapeType="1"/>
        </xdr:cNvSpPr>
      </xdr:nvSpPr>
      <xdr:spPr bwMode="auto">
        <a:xfrm rot="-5400000">
          <a:off x="9783762" y="133191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16</xdr:col>
      <xdr:colOff>517525</xdr:colOff>
      <xdr:row>22</xdr:row>
      <xdr:rowOff>3175</xdr:rowOff>
    </xdr:from>
    <xdr:to>
      <xdr:col>16</xdr:col>
      <xdr:colOff>660400</xdr:colOff>
      <xdr:row>22</xdr:row>
      <xdr:rowOff>147637</xdr:rowOff>
    </xdr:to>
    <xdr:sp macro="" textlink="">
      <xdr:nvSpPr>
        <xdr:cNvPr id="426" name="Arc 19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SpPr>
          <a:spLocks/>
        </xdr:cNvSpPr>
      </xdr:nvSpPr>
      <xdr:spPr bwMode="auto">
        <a:xfrm rot="5400000">
          <a:off x="10756107" y="24487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160338</xdr:colOff>
      <xdr:row>22</xdr:row>
      <xdr:rowOff>3175</xdr:rowOff>
    </xdr:from>
    <xdr:to>
      <xdr:col>18</xdr:col>
      <xdr:colOff>303213</xdr:colOff>
      <xdr:row>22</xdr:row>
      <xdr:rowOff>147637</xdr:rowOff>
    </xdr:to>
    <xdr:sp macro="" textlink="">
      <xdr:nvSpPr>
        <xdr:cNvPr id="427" name="Arc 20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SpPr>
          <a:spLocks/>
        </xdr:cNvSpPr>
      </xdr:nvSpPr>
      <xdr:spPr bwMode="auto">
        <a:xfrm rot="16200000" flipH="1">
          <a:off x="11764170" y="2448718"/>
          <a:ext cx="144462" cy="142875"/>
        </a:xfrm>
        <a:custGeom>
          <a:avLst/>
          <a:gdLst>
            <a:gd name="T0" fmla="*/ 0 w 21600"/>
            <a:gd name="T1" fmla="*/ 0 h 21600"/>
            <a:gd name="T2" fmla="*/ 144462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158750</xdr:colOff>
      <xdr:row>27</xdr:row>
      <xdr:rowOff>139700</xdr:rowOff>
    </xdr:from>
    <xdr:to>
      <xdr:col>18</xdr:col>
      <xdr:colOff>303213</xdr:colOff>
      <xdr:row>28</xdr:row>
      <xdr:rowOff>107950</xdr:rowOff>
    </xdr:to>
    <xdr:sp macro="" textlink="">
      <xdr:nvSpPr>
        <xdr:cNvPr id="428" name="Arc 21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SpPr>
          <a:spLocks/>
        </xdr:cNvSpPr>
      </xdr:nvSpPr>
      <xdr:spPr bwMode="auto">
        <a:xfrm flipH="1">
          <a:off x="11763375" y="3457575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16</xdr:col>
      <xdr:colOff>517525</xdr:colOff>
      <xdr:row>27</xdr:row>
      <xdr:rowOff>138112</xdr:rowOff>
    </xdr:from>
    <xdr:to>
      <xdr:col>16</xdr:col>
      <xdr:colOff>660400</xdr:colOff>
      <xdr:row>28</xdr:row>
      <xdr:rowOff>107950</xdr:rowOff>
    </xdr:to>
    <xdr:sp macro="" textlink="">
      <xdr:nvSpPr>
        <xdr:cNvPr id="429" name="Arc 22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SpPr>
          <a:spLocks/>
        </xdr:cNvSpPr>
      </xdr:nvSpPr>
      <xdr:spPr bwMode="auto">
        <a:xfrm rot="5400000" flipH="1">
          <a:off x="10756106" y="3456781"/>
          <a:ext cx="144463" cy="142875"/>
        </a:xfrm>
        <a:custGeom>
          <a:avLst/>
          <a:gdLst>
            <a:gd name="T0" fmla="*/ 0 w 21600"/>
            <a:gd name="T1" fmla="*/ 0 h 21600"/>
            <a:gd name="T2" fmla="*/ 144463 w 21600"/>
            <a:gd name="T3" fmla="*/ 142875 h 21600"/>
            <a:gd name="T4" fmla="*/ 0 w 21600"/>
            <a:gd name="T5" fmla="*/ 14287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27</xdr:row>
      <xdr:rowOff>138112</xdr:rowOff>
    </xdr:from>
    <xdr:to>
      <xdr:col>16</xdr:col>
      <xdr:colOff>517525</xdr:colOff>
      <xdr:row>27</xdr:row>
      <xdr:rowOff>138112</xdr:rowOff>
    </xdr:to>
    <xdr:sp macro="" textlink="">
      <xdr:nvSpPr>
        <xdr:cNvPr id="430" name="Line 23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SpPr>
          <a:spLocks noChangeShapeType="1"/>
        </xdr:cNvSpPr>
      </xdr:nvSpPr>
      <xdr:spPr bwMode="auto">
        <a:xfrm>
          <a:off x="8239125" y="3455987"/>
          <a:ext cx="251777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303213</xdr:colOff>
      <xdr:row>27</xdr:row>
      <xdr:rowOff>138112</xdr:rowOff>
    </xdr:from>
    <xdr:to>
      <xdr:col>22</xdr:col>
      <xdr:colOff>22225</xdr:colOff>
      <xdr:row>27</xdr:row>
      <xdr:rowOff>138112</xdr:rowOff>
    </xdr:to>
    <xdr:sp macro="" textlink="">
      <xdr:nvSpPr>
        <xdr:cNvPr id="431" name="Line 24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SpPr>
          <a:spLocks noChangeShapeType="1"/>
        </xdr:cNvSpPr>
      </xdr:nvSpPr>
      <xdr:spPr bwMode="auto">
        <a:xfrm>
          <a:off x="11907838" y="3455987"/>
          <a:ext cx="2449512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158750</xdr:colOff>
      <xdr:row>28</xdr:row>
      <xdr:rowOff>107950</xdr:rowOff>
    </xdr:from>
    <xdr:to>
      <xdr:col>18</xdr:col>
      <xdr:colOff>158750</xdr:colOff>
      <xdr:row>41</xdr:row>
      <xdr:rowOff>69850</xdr:rowOff>
    </xdr:to>
    <xdr:sp macro="" textlink="">
      <xdr:nvSpPr>
        <xdr:cNvPr id="432" name="Line 25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SpPr>
          <a:spLocks noChangeShapeType="1"/>
        </xdr:cNvSpPr>
      </xdr:nvSpPr>
      <xdr:spPr bwMode="auto">
        <a:xfrm rot="5400000" flipH="1">
          <a:off x="10647362" y="47164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16</xdr:col>
      <xdr:colOff>660400</xdr:colOff>
      <xdr:row>28</xdr:row>
      <xdr:rowOff>107950</xdr:rowOff>
    </xdr:from>
    <xdr:to>
      <xdr:col>16</xdr:col>
      <xdr:colOff>660400</xdr:colOff>
      <xdr:row>41</xdr:row>
      <xdr:rowOff>69850</xdr:rowOff>
    </xdr:to>
    <xdr:sp macro="" textlink="">
      <xdr:nvSpPr>
        <xdr:cNvPr id="433" name="Line 26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SpPr>
          <a:spLocks noChangeShapeType="1"/>
        </xdr:cNvSpPr>
      </xdr:nvSpPr>
      <xdr:spPr bwMode="auto">
        <a:xfrm rot="16200000" flipV="1">
          <a:off x="9783762" y="4716463"/>
          <a:ext cx="2232025" cy="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46038</xdr:colOff>
      <xdr:row>29</xdr:row>
      <xdr:rowOff>77787</xdr:rowOff>
    </xdr:from>
    <xdr:to>
      <xdr:col>16</xdr:col>
      <xdr:colOff>661988</xdr:colOff>
      <xdr:row>29</xdr:row>
      <xdr:rowOff>77787</xdr:rowOff>
    </xdr:to>
    <xdr:sp macro="" textlink="">
      <xdr:nvSpPr>
        <xdr:cNvPr id="434" name="Line 31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SpPr>
          <a:spLocks noChangeShapeType="1"/>
        </xdr:cNvSpPr>
      </xdr:nvSpPr>
      <xdr:spPr bwMode="auto">
        <a:xfrm>
          <a:off x="8237538" y="3744912"/>
          <a:ext cx="26638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158750</xdr:colOff>
      <xdr:row>29</xdr:row>
      <xdr:rowOff>77787</xdr:rowOff>
    </xdr:from>
    <xdr:to>
      <xdr:col>22</xdr:col>
      <xdr:colOff>22225</xdr:colOff>
      <xdr:row>29</xdr:row>
      <xdr:rowOff>77787</xdr:rowOff>
    </xdr:to>
    <xdr:sp macro="" textlink="">
      <xdr:nvSpPr>
        <xdr:cNvPr id="435" name="Line 33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SpPr>
          <a:spLocks noChangeShapeType="1"/>
        </xdr:cNvSpPr>
      </xdr:nvSpPr>
      <xdr:spPr bwMode="auto">
        <a:xfrm>
          <a:off x="11763375" y="3744912"/>
          <a:ext cx="259397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326485</xdr:colOff>
      <xdr:row>34</xdr:row>
      <xdr:rowOff>69850</xdr:rowOff>
    </xdr:from>
    <xdr:to>
      <xdr:col>18</xdr:col>
      <xdr:colOff>602202</xdr:colOff>
      <xdr:row>38</xdr:row>
      <xdr:rowOff>17462</xdr:rowOff>
    </xdr:to>
    <xdr:sp macro="" textlink="">
      <xdr:nvSpPr>
        <xdr:cNvPr id="436" name="Text Box 34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SpPr txBox="1">
          <a:spLocks noChangeArrowheads="1"/>
        </xdr:cNvSpPr>
      </xdr:nvSpPr>
      <xdr:spPr bwMode="auto">
        <a:xfrm rot="-5400000">
          <a:off x="11044238" y="4884197"/>
          <a:ext cx="658812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312m</a:t>
          </a:r>
        </a:p>
      </xdr:txBody>
    </xdr:sp>
    <xdr:clientData/>
  </xdr:twoCellAnchor>
  <xdr:twoCellAnchor>
    <xdr:from>
      <xdr:col>19</xdr:col>
      <xdr:colOff>446088</xdr:colOff>
      <xdr:row>27</xdr:row>
      <xdr:rowOff>131762</xdr:rowOff>
    </xdr:from>
    <xdr:to>
      <xdr:col>20</xdr:col>
      <xdr:colOff>409575</xdr:colOff>
      <xdr:row>29</xdr:row>
      <xdr:rowOff>51879</xdr:rowOff>
    </xdr:to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1990388" y="3509962"/>
          <a:ext cx="598487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543m</a:t>
          </a:r>
        </a:p>
      </xdr:txBody>
    </xdr:sp>
    <xdr:clientData/>
  </xdr:twoCellAnchor>
  <xdr:twoCellAnchor>
    <xdr:from>
      <xdr:col>18</xdr:col>
      <xdr:colOff>663575</xdr:colOff>
      <xdr:row>27</xdr:row>
      <xdr:rowOff>138112</xdr:rowOff>
    </xdr:from>
    <xdr:to>
      <xdr:col>18</xdr:col>
      <xdr:colOff>663575</xdr:colOff>
      <xdr:row>41</xdr:row>
      <xdr:rowOff>69850</xdr:rowOff>
    </xdr:to>
    <xdr:sp macro="" textlink="">
      <xdr:nvSpPr>
        <xdr:cNvPr id="438" name="Line 37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SpPr>
          <a:spLocks noChangeShapeType="1"/>
        </xdr:cNvSpPr>
      </xdr:nvSpPr>
      <xdr:spPr bwMode="auto">
        <a:xfrm rot="5400000">
          <a:off x="11079956" y="4644231"/>
          <a:ext cx="237648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663575</xdr:colOff>
      <xdr:row>9</xdr:row>
      <xdr:rowOff>41275</xdr:rowOff>
    </xdr:from>
    <xdr:to>
      <xdr:col>18</xdr:col>
      <xdr:colOff>673100</xdr:colOff>
      <xdr:row>22</xdr:row>
      <xdr:rowOff>147637</xdr:rowOff>
    </xdr:to>
    <xdr:sp macro="" textlink="">
      <xdr:nvSpPr>
        <xdr:cNvPr id="439" name="Line 38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SpPr>
          <a:spLocks noChangeShapeType="1"/>
        </xdr:cNvSpPr>
      </xdr:nvSpPr>
      <xdr:spPr bwMode="auto">
        <a:xfrm rot="5400000">
          <a:off x="11084719" y="1399381"/>
          <a:ext cx="2376487" cy="9525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326485</xdr:colOff>
      <xdr:row>15</xdr:row>
      <xdr:rowOff>125412</xdr:rowOff>
    </xdr:from>
    <xdr:to>
      <xdr:col>18</xdr:col>
      <xdr:colOff>602202</xdr:colOff>
      <xdr:row>19</xdr:row>
      <xdr:rowOff>74612</xdr:rowOff>
    </xdr:to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SpPr txBox="1">
          <a:spLocks noChangeArrowheads="1"/>
        </xdr:cNvSpPr>
      </xdr:nvSpPr>
      <xdr:spPr bwMode="auto">
        <a:xfrm rot="-5400000">
          <a:off x="11043444" y="1562353"/>
          <a:ext cx="660400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250m</a:t>
          </a:r>
        </a:p>
      </xdr:txBody>
    </xdr:sp>
    <xdr:clientData/>
  </xdr:twoCellAnchor>
  <xdr:twoCellAnchor>
    <xdr:from>
      <xdr:col>14</xdr:col>
      <xdr:colOff>298450</xdr:colOff>
      <xdr:row>27</xdr:row>
      <xdr:rowOff>131762</xdr:rowOff>
    </xdr:from>
    <xdr:to>
      <xdr:col>15</xdr:col>
      <xdr:colOff>261938</xdr:colOff>
      <xdr:row>29</xdr:row>
      <xdr:rowOff>51879</xdr:rowOff>
    </xdr:to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8667750" y="3509962"/>
          <a:ext cx="598488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456m</a:t>
          </a:r>
        </a:p>
      </xdr:txBody>
    </xdr:sp>
    <xdr:clientData/>
  </xdr:twoCellAnchor>
  <xdr:twoCellAnchor>
    <xdr:from>
      <xdr:col>18</xdr:col>
      <xdr:colOff>303213</xdr:colOff>
      <xdr:row>23</xdr:row>
      <xdr:rowOff>44450</xdr:rowOff>
    </xdr:from>
    <xdr:to>
      <xdr:col>18</xdr:col>
      <xdr:colOff>669925</xdr:colOff>
      <xdr:row>26</xdr:row>
      <xdr:rowOff>168275</xdr:rowOff>
    </xdr:to>
    <xdr:sp macro="" textlink="">
      <xdr:nvSpPr>
        <xdr:cNvPr id="442" name="Text Box 64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SpPr txBox="1">
          <a:spLocks noChangeArrowheads="1"/>
        </xdr:cNvSpPr>
      </xdr:nvSpPr>
      <xdr:spPr bwMode="auto">
        <a:xfrm rot="-5400000">
          <a:off x="11767344" y="2804319"/>
          <a:ext cx="64770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18</xdr:col>
      <xdr:colOff>663575</xdr:colOff>
      <xdr:row>22</xdr:row>
      <xdr:rowOff>147637</xdr:rowOff>
    </xdr:from>
    <xdr:to>
      <xdr:col>18</xdr:col>
      <xdr:colOff>663575</xdr:colOff>
      <xdr:row>27</xdr:row>
      <xdr:rowOff>138112</xdr:rowOff>
    </xdr:to>
    <xdr:sp macro="" textlink="">
      <xdr:nvSpPr>
        <xdr:cNvPr id="443" name="Line 65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SpPr>
          <a:spLocks noChangeShapeType="1"/>
        </xdr:cNvSpPr>
      </xdr:nvSpPr>
      <xdr:spPr bwMode="auto">
        <a:xfrm rot="5400000">
          <a:off x="11836400" y="3024187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14</xdr:col>
      <xdr:colOff>82550</xdr:colOff>
      <xdr:row>26</xdr:row>
      <xdr:rowOff>96837</xdr:rowOff>
    </xdr:from>
    <xdr:to>
      <xdr:col>14</xdr:col>
      <xdr:colOff>369888</xdr:colOff>
      <xdr:row>27</xdr:row>
      <xdr:rowOff>138112</xdr:rowOff>
    </xdr:to>
    <xdr:sp macro="" textlink="">
      <xdr:nvSpPr>
        <xdr:cNvPr id="444" name="Rectangle 77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8956675" y="3240087"/>
          <a:ext cx="287338" cy="215900"/>
        </a:xfrm>
        <a:prstGeom prst="rect">
          <a:avLst/>
        </a:prstGeom>
        <a:solidFill>
          <a:srgbClr val="FF0066"/>
        </a:solidFill>
        <a:ln w="9525">
          <a:solidFill>
            <a:schemeClr val="bg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/>
        </a:p>
      </xdr:txBody>
    </xdr:sp>
    <xdr:clientData/>
  </xdr:twoCellAnchor>
  <xdr:twoCellAnchor>
    <xdr:from>
      <xdr:col>14</xdr:col>
      <xdr:colOff>369888</xdr:colOff>
      <xdr:row>31</xdr:row>
      <xdr:rowOff>153987</xdr:rowOff>
    </xdr:from>
    <xdr:to>
      <xdr:col>16</xdr:col>
      <xdr:colOff>660400</xdr:colOff>
      <xdr:row>31</xdr:row>
      <xdr:rowOff>160337</xdr:rowOff>
    </xdr:to>
    <xdr:sp macro="" textlink="">
      <xdr:nvSpPr>
        <xdr:cNvPr id="445" name="Line 79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9244013" y="4170362"/>
          <a:ext cx="1655762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16</xdr:col>
      <xdr:colOff>660400</xdr:colOff>
      <xdr:row>31</xdr:row>
      <xdr:rowOff>153987</xdr:rowOff>
    </xdr:from>
    <xdr:to>
      <xdr:col>18</xdr:col>
      <xdr:colOff>158750</xdr:colOff>
      <xdr:row>31</xdr:row>
      <xdr:rowOff>153987</xdr:rowOff>
    </xdr:to>
    <xdr:sp macro="" textlink="">
      <xdr:nvSpPr>
        <xdr:cNvPr id="446" name="Line 80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SpPr>
          <a:spLocks noChangeShapeType="1"/>
        </xdr:cNvSpPr>
      </xdr:nvSpPr>
      <xdr:spPr bwMode="auto">
        <a:xfrm>
          <a:off x="10899775" y="4170362"/>
          <a:ext cx="863600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158750</xdr:colOff>
      <xdr:row>31</xdr:row>
      <xdr:rowOff>153987</xdr:rowOff>
    </xdr:from>
    <xdr:to>
      <xdr:col>20</xdr:col>
      <xdr:colOff>306388</xdr:colOff>
      <xdr:row>31</xdr:row>
      <xdr:rowOff>160337</xdr:rowOff>
    </xdr:to>
    <xdr:sp macro="" textlink="">
      <xdr:nvSpPr>
        <xdr:cNvPr id="447" name="Line 81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SpPr>
          <a:spLocks noChangeShapeType="1"/>
        </xdr:cNvSpPr>
      </xdr:nvSpPr>
      <xdr:spPr bwMode="auto">
        <a:xfrm>
          <a:off x="11763375" y="4170362"/>
          <a:ext cx="1512888" cy="635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128588</xdr:colOff>
      <xdr:row>29</xdr:row>
      <xdr:rowOff>149225</xdr:rowOff>
    </xdr:from>
    <xdr:to>
      <xdr:col>17</xdr:col>
      <xdr:colOff>655638</xdr:colOff>
      <xdr:row>31</xdr:row>
      <xdr:rowOff>166687</xdr:rowOff>
    </xdr:to>
    <xdr:sp macro="" textlink="">
      <xdr:nvSpPr>
        <xdr:cNvPr id="448" name="Text Box 82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1050588" y="38163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20m</a:t>
          </a:r>
        </a:p>
      </xdr:txBody>
    </xdr:sp>
    <xdr:clientData/>
  </xdr:twoCellAnchor>
  <xdr:twoCellAnchor>
    <xdr:from>
      <xdr:col>19</xdr:col>
      <xdr:colOff>61913</xdr:colOff>
      <xdr:row>29</xdr:row>
      <xdr:rowOff>149225</xdr:rowOff>
    </xdr:from>
    <xdr:to>
      <xdr:col>19</xdr:col>
      <xdr:colOff>588963</xdr:colOff>
      <xdr:row>31</xdr:row>
      <xdr:rowOff>166687</xdr:rowOff>
    </xdr:to>
    <xdr:sp macro="" textlink="">
      <xdr:nvSpPr>
        <xdr:cNvPr id="449" name="Text Box 83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2349163" y="38163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15</xdr:col>
      <xdr:colOff>119063</xdr:colOff>
      <xdr:row>29</xdr:row>
      <xdr:rowOff>149225</xdr:rowOff>
    </xdr:from>
    <xdr:to>
      <xdr:col>15</xdr:col>
      <xdr:colOff>646113</xdr:colOff>
      <xdr:row>31</xdr:row>
      <xdr:rowOff>166687</xdr:rowOff>
    </xdr:to>
    <xdr:sp macro="" textlink="">
      <xdr:nvSpPr>
        <xdr:cNvPr id="450" name="Text Box 84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9675813" y="38163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90m</a:t>
          </a:r>
        </a:p>
      </xdr:txBody>
    </xdr:sp>
    <xdr:clientData/>
  </xdr:twoCellAnchor>
  <xdr:twoCellAnchor>
    <xdr:from>
      <xdr:col>14</xdr:col>
      <xdr:colOff>82550</xdr:colOff>
      <xdr:row>31</xdr:row>
      <xdr:rowOff>160337</xdr:rowOff>
    </xdr:from>
    <xdr:to>
      <xdr:col>14</xdr:col>
      <xdr:colOff>369888</xdr:colOff>
      <xdr:row>31</xdr:row>
      <xdr:rowOff>160337</xdr:rowOff>
    </xdr:to>
    <xdr:sp macro="" textlink="">
      <xdr:nvSpPr>
        <xdr:cNvPr id="451" name="Line 86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8956675" y="4176712"/>
          <a:ext cx="287338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620713</xdr:colOff>
      <xdr:row>29</xdr:row>
      <xdr:rowOff>155575</xdr:rowOff>
    </xdr:from>
    <xdr:to>
      <xdr:col>14</xdr:col>
      <xdr:colOff>465138</xdr:colOff>
      <xdr:row>31</xdr:row>
      <xdr:rowOff>173037</xdr:rowOff>
    </xdr:to>
    <xdr:sp macro="" textlink="">
      <xdr:nvSpPr>
        <xdr:cNvPr id="452" name="Text Box 87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8812213" y="382270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20</xdr:col>
      <xdr:colOff>306388</xdr:colOff>
      <xdr:row>31</xdr:row>
      <xdr:rowOff>160337</xdr:rowOff>
    </xdr:from>
    <xdr:to>
      <xdr:col>20</xdr:col>
      <xdr:colOff>595313</xdr:colOff>
      <xdr:row>31</xdr:row>
      <xdr:rowOff>160337</xdr:rowOff>
    </xdr:to>
    <xdr:sp macro="" textlink="">
      <xdr:nvSpPr>
        <xdr:cNvPr id="453" name="Line 88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13276263" y="4176712"/>
          <a:ext cx="2889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20</xdr:col>
      <xdr:colOff>161925</xdr:colOff>
      <xdr:row>29</xdr:row>
      <xdr:rowOff>149225</xdr:rowOff>
    </xdr:from>
    <xdr:to>
      <xdr:col>21</xdr:col>
      <xdr:colOff>6350</xdr:colOff>
      <xdr:row>31</xdr:row>
      <xdr:rowOff>166687</xdr:rowOff>
    </xdr:to>
    <xdr:sp macro="" textlink="">
      <xdr:nvSpPr>
        <xdr:cNvPr id="454" name="Text Box 89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3131800" y="3816350"/>
          <a:ext cx="527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>
              <a:latin typeface="ＭＳ 明朝" pitchFamily="17" charset="-128"/>
              <a:ea typeface="ＭＳ 明朝" pitchFamily="17" charset="-128"/>
            </a:rPr>
            <a:t>10m</a:t>
          </a:r>
        </a:p>
      </xdr:txBody>
    </xdr:sp>
    <xdr:clientData/>
  </xdr:twoCellAnchor>
  <xdr:twoCellAnchor>
    <xdr:from>
      <xdr:col>17</xdr:col>
      <xdr:colOff>409574</xdr:colOff>
      <xdr:row>16</xdr:row>
      <xdr:rowOff>127000</xdr:rowOff>
    </xdr:from>
    <xdr:to>
      <xdr:col>17</xdr:col>
      <xdr:colOff>419100</xdr:colOff>
      <xdr:row>22</xdr:row>
      <xdr:rowOff>147636</xdr:rowOff>
    </xdr:to>
    <xdr:sp macro="" textlink="">
      <xdr:nvSpPr>
        <xdr:cNvPr id="455" name="Line 90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SpPr>
          <a:spLocks noChangeShapeType="1"/>
        </xdr:cNvSpPr>
      </xdr:nvSpPr>
      <xdr:spPr bwMode="auto">
        <a:xfrm flipH="1">
          <a:off x="10683874" y="1549400"/>
          <a:ext cx="9526" cy="1087436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392113</xdr:colOff>
      <xdr:row>27</xdr:row>
      <xdr:rowOff>138112</xdr:rowOff>
    </xdr:from>
    <xdr:to>
      <xdr:col>17</xdr:col>
      <xdr:colOff>409575</xdr:colOff>
      <xdr:row>39</xdr:row>
      <xdr:rowOff>58737</xdr:rowOff>
    </xdr:to>
    <xdr:sp macro="" textlink="">
      <xdr:nvSpPr>
        <xdr:cNvPr id="456" name="Line 91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SpPr>
          <a:spLocks noChangeShapeType="1"/>
        </xdr:cNvSpPr>
      </xdr:nvSpPr>
      <xdr:spPr bwMode="auto">
        <a:xfrm flipH="1">
          <a:off x="11314113" y="3455987"/>
          <a:ext cx="17462" cy="2016125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115888</xdr:colOff>
      <xdr:row>25</xdr:row>
      <xdr:rowOff>55562</xdr:rowOff>
    </xdr:from>
    <xdr:to>
      <xdr:col>16</xdr:col>
      <xdr:colOff>660400</xdr:colOff>
      <xdr:row>25</xdr:row>
      <xdr:rowOff>55562</xdr:rowOff>
    </xdr:to>
    <xdr:sp macro="" textlink="">
      <xdr:nvSpPr>
        <xdr:cNvPr id="457" name="Line 92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SpPr>
          <a:spLocks noChangeShapeType="1"/>
        </xdr:cNvSpPr>
      </xdr:nvSpPr>
      <xdr:spPr bwMode="auto">
        <a:xfrm rot="5400000" flipV="1">
          <a:off x="9603582" y="17279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160338</xdr:colOff>
      <xdr:row>25</xdr:row>
      <xdr:rowOff>55562</xdr:rowOff>
    </xdr:from>
    <xdr:to>
      <xdr:col>22</xdr:col>
      <xdr:colOff>22225</xdr:colOff>
      <xdr:row>25</xdr:row>
      <xdr:rowOff>55562</xdr:rowOff>
    </xdr:to>
    <xdr:sp macro="" textlink="">
      <xdr:nvSpPr>
        <xdr:cNvPr id="458" name="Line 93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SpPr>
          <a:spLocks noChangeShapeType="1"/>
        </xdr:cNvSpPr>
      </xdr:nvSpPr>
      <xdr:spPr bwMode="auto">
        <a:xfrm rot="5400000" flipV="1">
          <a:off x="13061157" y="1727993"/>
          <a:ext cx="0" cy="2592387"/>
        </a:xfrm>
        <a:prstGeom prst="line">
          <a:avLst/>
        </a:prstGeom>
        <a:noFill/>
        <a:ln w="19050">
          <a:solidFill>
            <a:schemeClr val="tx1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625475</xdr:colOff>
      <xdr:row>11</xdr:row>
      <xdr:rowOff>123825</xdr:rowOff>
    </xdr:from>
    <xdr:to>
      <xdr:col>17</xdr:col>
      <xdr:colOff>625475</xdr:colOff>
      <xdr:row>22</xdr:row>
      <xdr:rowOff>147637</xdr:rowOff>
    </xdr:to>
    <xdr:sp macro="" textlink="">
      <xdr:nvSpPr>
        <xdr:cNvPr id="459" name="Line 94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SpPr>
          <a:spLocks noChangeShapeType="1"/>
        </xdr:cNvSpPr>
      </xdr:nvSpPr>
      <xdr:spPr bwMode="auto">
        <a:xfrm flipH="1">
          <a:off x="11547475" y="647700"/>
          <a:ext cx="0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193675</xdr:colOff>
      <xdr:row>11</xdr:row>
      <xdr:rowOff>123825</xdr:rowOff>
    </xdr:from>
    <xdr:to>
      <xdr:col>17</xdr:col>
      <xdr:colOff>211138</xdr:colOff>
      <xdr:row>22</xdr:row>
      <xdr:rowOff>147637</xdr:rowOff>
    </xdr:to>
    <xdr:sp macro="" textlink="">
      <xdr:nvSpPr>
        <xdr:cNvPr id="460" name="Line 95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SpPr>
          <a:spLocks noChangeShapeType="1"/>
        </xdr:cNvSpPr>
      </xdr:nvSpPr>
      <xdr:spPr bwMode="auto">
        <a:xfrm flipH="1">
          <a:off x="11115675" y="647700"/>
          <a:ext cx="17463" cy="19446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625475</xdr:colOff>
      <xdr:row>27</xdr:row>
      <xdr:rowOff>138112</xdr:rowOff>
    </xdr:from>
    <xdr:to>
      <xdr:col>17</xdr:col>
      <xdr:colOff>627063</xdr:colOff>
      <xdr:row>39</xdr:row>
      <xdr:rowOff>130175</xdr:rowOff>
    </xdr:to>
    <xdr:sp macro="" textlink="">
      <xdr:nvSpPr>
        <xdr:cNvPr id="461" name="Line 96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SpPr>
          <a:spLocks noChangeShapeType="1"/>
        </xdr:cNvSpPr>
      </xdr:nvSpPr>
      <xdr:spPr bwMode="auto">
        <a:xfrm flipH="1">
          <a:off x="11547475" y="3455987"/>
          <a:ext cx="1588" cy="2087563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17</xdr:col>
      <xdr:colOff>193675</xdr:colOff>
      <xdr:row>27</xdr:row>
      <xdr:rowOff>138112</xdr:rowOff>
    </xdr:from>
    <xdr:to>
      <xdr:col>17</xdr:col>
      <xdr:colOff>195263</xdr:colOff>
      <xdr:row>39</xdr:row>
      <xdr:rowOff>58737</xdr:rowOff>
    </xdr:to>
    <xdr:sp macro="" textlink="">
      <xdr:nvSpPr>
        <xdr:cNvPr id="462" name="Line 97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SpPr>
          <a:spLocks noChangeShapeType="1"/>
        </xdr:cNvSpPr>
      </xdr:nvSpPr>
      <xdr:spPr bwMode="auto">
        <a:xfrm flipH="1">
          <a:off x="11115675" y="3455987"/>
          <a:ext cx="1588" cy="2016125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115888</xdr:colOff>
      <xdr:row>26</xdr:row>
      <xdr:rowOff>96837</xdr:rowOff>
    </xdr:from>
    <xdr:to>
      <xdr:col>16</xdr:col>
      <xdr:colOff>660400</xdr:colOff>
      <xdr:row>26</xdr:row>
      <xdr:rowOff>96837</xdr:rowOff>
    </xdr:to>
    <xdr:sp macro="" textlink="">
      <xdr:nvSpPr>
        <xdr:cNvPr id="463" name="Line 98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SpPr>
          <a:spLocks noChangeShapeType="1"/>
        </xdr:cNvSpPr>
      </xdr:nvSpPr>
      <xdr:spPr bwMode="auto">
        <a:xfrm rot="-5400000">
          <a:off x="9603582" y="19438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115888</xdr:colOff>
      <xdr:row>24</xdr:row>
      <xdr:rowOff>14287</xdr:rowOff>
    </xdr:from>
    <xdr:to>
      <xdr:col>16</xdr:col>
      <xdr:colOff>660400</xdr:colOff>
      <xdr:row>24</xdr:row>
      <xdr:rowOff>14287</xdr:rowOff>
    </xdr:to>
    <xdr:sp macro="" textlink="">
      <xdr:nvSpPr>
        <xdr:cNvPr id="464" name="Line 99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SpPr>
          <a:spLocks noChangeShapeType="1"/>
        </xdr:cNvSpPr>
      </xdr:nvSpPr>
      <xdr:spPr bwMode="auto">
        <a:xfrm rot="-5400000">
          <a:off x="9603582" y="15120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160338</xdr:colOff>
      <xdr:row>26</xdr:row>
      <xdr:rowOff>96837</xdr:rowOff>
    </xdr:from>
    <xdr:to>
      <xdr:col>22</xdr:col>
      <xdr:colOff>22225</xdr:colOff>
      <xdr:row>26</xdr:row>
      <xdr:rowOff>96837</xdr:rowOff>
    </xdr:to>
    <xdr:sp macro="" textlink="">
      <xdr:nvSpPr>
        <xdr:cNvPr id="465" name="Line 100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SpPr>
          <a:spLocks noChangeShapeType="1"/>
        </xdr:cNvSpPr>
      </xdr:nvSpPr>
      <xdr:spPr bwMode="auto">
        <a:xfrm rot="-5400000">
          <a:off x="13061157" y="19438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18</xdr:col>
      <xdr:colOff>160338</xdr:colOff>
      <xdr:row>24</xdr:row>
      <xdr:rowOff>14287</xdr:rowOff>
    </xdr:from>
    <xdr:to>
      <xdr:col>22</xdr:col>
      <xdr:colOff>22225</xdr:colOff>
      <xdr:row>24</xdr:row>
      <xdr:rowOff>14287</xdr:rowOff>
    </xdr:to>
    <xdr:sp macro="" textlink="">
      <xdr:nvSpPr>
        <xdr:cNvPr id="466" name="Line 101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SpPr>
          <a:spLocks noChangeShapeType="1"/>
        </xdr:cNvSpPr>
      </xdr:nvSpPr>
      <xdr:spPr bwMode="auto">
        <a:xfrm rot="-5400000">
          <a:off x="13061157" y="1512093"/>
          <a:ext cx="0" cy="2592387"/>
        </a:xfrm>
        <a:prstGeom prst="line">
          <a:avLst/>
        </a:prstGeom>
        <a:noFill/>
        <a:ln w="12700">
          <a:solidFill>
            <a:schemeClr val="tx1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296863</xdr:colOff>
      <xdr:row>23</xdr:row>
      <xdr:rowOff>163512</xdr:rowOff>
    </xdr:from>
    <xdr:to>
      <xdr:col>13</xdr:col>
      <xdr:colOff>6350</xdr:colOff>
      <xdr:row>26</xdr:row>
      <xdr:rowOff>106362</xdr:rowOff>
    </xdr:to>
    <xdr:sp macro="" textlink="">
      <xdr:nvSpPr>
        <xdr:cNvPr id="467" name="Text Box 107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7805738" y="2782887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１</a:t>
          </a:r>
        </a:p>
      </xdr:txBody>
    </xdr:sp>
    <xdr:clientData/>
  </xdr:twoCellAnchor>
  <xdr:twoCellAnchor>
    <xdr:from>
      <xdr:col>22</xdr:col>
      <xdr:colOff>22225</xdr:colOff>
      <xdr:row>23</xdr:row>
      <xdr:rowOff>163512</xdr:rowOff>
    </xdr:from>
    <xdr:to>
      <xdr:col>22</xdr:col>
      <xdr:colOff>414338</xdr:colOff>
      <xdr:row>26</xdr:row>
      <xdr:rowOff>106362</xdr:rowOff>
    </xdr:to>
    <xdr:sp macro="" textlink="">
      <xdr:nvSpPr>
        <xdr:cNvPr id="468" name="Text Box 108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4357350" y="2782887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３</a:t>
          </a:r>
        </a:p>
      </xdr:txBody>
    </xdr:sp>
    <xdr:clientData/>
  </xdr:twoCellAnchor>
  <xdr:twoCellAnchor>
    <xdr:from>
      <xdr:col>17</xdr:col>
      <xdr:colOff>220663</xdr:colOff>
      <xdr:row>13</xdr:row>
      <xdr:rowOff>114300</xdr:rowOff>
    </xdr:from>
    <xdr:to>
      <xdr:col>17</xdr:col>
      <xdr:colOff>612775</xdr:colOff>
      <xdr:row>16</xdr:row>
      <xdr:rowOff>53975</xdr:rowOff>
    </xdr:to>
    <xdr:sp macro="" textlink="">
      <xdr:nvSpPr>
        <xdr:cNvPr id="469" name="Text Box 109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0494963" y="1003300"/>
          <a:ext cx="392112" cy="47307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４</a:t>
          </a:r>
        </a:p>
      </xdr:txBody>
    </xdr:sp>
    <xdr:clientData/>
  </xdr:twoCellAnchor>
  <xdr:twoCellAnchor>
    <xdr:from>
      <xdr:col>17</xdr:col>
      <xdr:colOff>195263</xdr:colOff>
      <xdr:row>39</xdr:row>
      <xdr:rowOff>130175</xdr:rowOff>
    </xdr:from>
    <xdr:to>
      <xdr:col>17</xdr:col>
      <xdr:colOff>587375</xdr:colOff>
      <xdr:row>42</xdr:row>
      <xdr:rowOff>73025</xdr:rowOff>
    </xdr:to>
    <xdr:sp macro="" textlink="">
      <xdr:nvSpPr>
        <xdr:cNvPr id="470" name="Text Box 110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1117263" y="5543550"/>
          <a:ext cx="392112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 sz="2400"/>
            <a:t>５</a:t>
          </a:r>
        </a:p>
      </xdr:txBody>
    </xdr:sp>
    <xdr:clientData/>
  </xdr:twoCellAnchor>
  <xdr:twoCellAnchor>
    <xdr:from>
      <xdr:col>17</xdr:col>
      <xdr:colOff>234950</xdr:colOff>
      <xdr:row>23</xdr:row>
      <xdr:rowOff>153987</xdr:rowOff>
    </xdr:from>
    <xdr:to>
      <xdr:col>17</xdr:col>
      <xdr:colOff>627063</xdr:colOff>
      <xdr:row>26</xdr:row>
      <xdr:rowOff>96837</xdr:rowOff>
    </xdr:to>
    <xdr:sp macro="" textlink="">
      <xdr:nvSpPr>
        <xdr:cNvPr id="471" name="Text Box 107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1156950" y="2773362"/>
          <a:ext cx="392113" cy="4667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en-US" altLang="ja-JP" sz="2400"/>
            <a:t>2</a:t>
          </a:r>
          <a:endParaRPr lang="ja-JP" altLang="en-US" sz="2400"/>
        </a:p>
      </xdr:txBody>
    </xdr:sp>
    <xdr:clientData/>
  </xdr:twoCellAnchor>
  <xdr:twoCellAnchor>
    <xdr:from>
      <xdr:col>13</xdr:col>
      <xdr:colOff>46038</xdr:colOff>
      <xdr:row>17</xdr:row>
      <xdr:rowOff>12700</xdr:rowOff>
    </xdr:from>
    <xdr:to>
      <xdr:col>13</xdr:col>
      <xdr:colOff>46038</xdr:colOff>
      <xdr:row>40</xdr:row>
      <xdr:rowOff>173037</xdr:rowOff>
    </xdr:to>
    <xdr:sp macro="" textlink="">
      <xdr:nvSpPr>
        <xdr:cNvPr id="472" name="Line 55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SpPr>
          <a:spLocks noChangeShapeType="1"/>
        </xdr:cNvSpPr>
      </xdr:nvSpPr>
      <xdr:spPr bwMode="auto">
        <a:xfrm>
          <a:off x="8237538" y="1584325"/>
          <a:ext cx="0" cy="4176712"/>
        </a:xfrm>
        <a:prstGeom prst="line">
          <a:avLst/>
        </a:prstGeom>
        <a:noFill/>
        <a:ln w="12700">
          <a:solidFill>
            <a:schemeClr val="tx1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490789</xdr:colOff>
      <xdr:row>13</xdr:row>
      <xdr:rowOff>92075</xdr:rowOff>
    </xdr:from>
    <xdr:to>
      <xdr:col>13</xdr:col>
      <xdr:colOff>236538</xdr:colOff>
      <xdr:row>17</xdr:row>
      <xdr:rowOff>38100</xdr:rowOff>
    </xdr:to>
    <xdr:sp macro="" textlink="">
      <xdr:nvSpPr>
        <xdr:cNvPr id="473" name="Text Box 56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7339264" y="1635125"/>
          <a:ext cx="355349" cy="631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/>
            <a:t>基準線</a:t>
          </a:r>
        </a:p>
      </xdr:txBody>
    </xdr:sp>
    <xdr:clientData/>
  </xdr:twoCellAnchor>
  <xdr:twoCellAnchor>
    <xdr:from>
      <xdr:col>13</xdr:col>
      <xdr:colOff>46038</xdr:colOff>
      <xdr:row>37</xdr:row>
      <xdr:rowOff>47625</xdr:rowOff>
    </xdr:from>
    <xdr:to>
      <xdr:col>14</xdr:col>
      <xdr:colOff>300038</xdr:colOff>
      <xdr:row>37</xdr:row>
      <xdr:rowOff>47625</xdr:rowOff>
    </xdr:to>
    <xdr:sp macro="" textlink="">
      <xdr:nvSpPr>
        <xdr:cNvPr id="475" name="Line 86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8237538" y="5111750"/>
          <a:ext cx="936625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46038</xdr:colOff>
      <xdr:row>38</xdr:row>
      <xdr:rowOff>88900</xdr:rowOff>
    </xdr:from>
    <xdr:to>
      <xdr:col>20</xdr:col>
      <xdr:colOff>307975</xdr:colOff>
      <xdr:row>38</xdr:row>
      <xdr:rowOff>88900</xdr:rowOff>
    </xdr:to>
    <xdr:sp macro="" textlink="">
      <xdr:nvSpPr>
        <xdr:cNvPr id="477" name="Line 86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8237538" y="5327650"/>
          <a:ext cx="5040312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231774</xdr:colOff>
      <xdr:row>2</xdr:row>
      <xdr:rowOff>32657</xdr:rowOff>
    </xdr:from>
    <xdr:to>
      <xdr:col>19</xdr:col>
      <xdr:colOff>9525</xdr:colOff>
      <xdr:row>8</xdr:row>
      <xdr:rowOff>53974</xdr:rowOff>
    </xdr:to>
    <xdr:sp macro="" textlink="">
      <xdr:nvSpPr>
        <xdr:cNvPr id="478" name="AutoShape 61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SpPr>
          <a:spLocks noChangeArrowheads="1"/>
        </xdr:cNvSpPr>
      </xdr:nvSpPr>
      <xdr:spPr bwMode="auto">
        <a:xfrm>
          <a:off x="7078888" y="304800"/>
          <a:ext cx="4044951" cy="1001031"/>
        </a:xfrm>
        <a:prstGeom prst="roundRect">
          <a:avLst>
            <a:gd name="adj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sz="1800" b="1">
              <a:solidFill>
                <a:sysClr val="windowText" lastClr="000000"/>
              </a:solidFill>
            </a:rPr>
            <a:t>規制パターン　①</a:t>
          </a:r>
          <a:endParaRPr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lang="ja-JP" altLang="en-US" sz="1800" b="1"/>
            <a:t>非開削工法：到達立坑 規制</a:t>
          </a:r>
          <a:endParaRPr lang="en-US" altLang="ja-JP" sz="1800" b="1"/>
        </a:p>
        <a:p>
          <a:pPr algn="ctr"/>
          <a:r>
            <a:rPr lang="ja-JP" altLang="en-US" sz="1800" b="1"/>
            <a:t>開削工法：</a:t>
          </a:r>
          <a:r>
            <a:rPr lang="en-US" altLang="ja-JP" sz="1800" b="1"/>
            <a:t>NO.2</a:t>
          </a:r>
          <a:r>
            <a:rPr lang="ja-JP" altLang="en-US" sz="1800" b="1"/>
            <a:t>マンホール 規制</a:t>
          </a:r>
          <a:endParaRPr lang="en-US" altLang="ja-JP" sz="1800" b="1"/>
        </a:p>
      </xdr:txBody>
    </xdr:sp>
    <xdr:clientData/>
  </xdr:twoCellAnchor>
  <xdr:twoCellAnchor>
    <xdr:from>
      <xdr:col>2</xdr:col>
      <xdr:colOff>355600</xdr:colOff>
      <xdr:row>123</xdr:row>
      <xdr:rowOff>76200</xdr:rowOff>
    </xdr:from>
    <xdr:to>
      <xdr:col>4</xdr:col>
      <xdr:colOff>457200</xdr:colOff>
      <xdr:row>125</xdr:row>
      <xdr:rowOff>52388</xdr:rowOff>
    </xdr:to>
    <xdr:sp macro="" textlink="">
      <xdr:nvSpPr>
        <xdr:cNvPr id="479" name="Text Box 87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8724900" y="19215100"/>
          <a:ext cx="1371600" cy="3317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A:566m</a:t>
          </a:r>
        </a:p>
      </xdr:txBody>
    </xdr:sp>
    <xdr:clientData/>
  </xdr:twoCellAnchor>
  <xdr:twoCellAnchor>
    <xdr:from>
      <xdr:col>14</xdr:col>
      <xdr:colOff>355600</xdr:colOff>
      <xdr:row>123</xdr:row>
      <xdr:rowOff>76200</xdr:rowOff>
    </xdr:from>
    <xdr:to>
      <xdr:col>16</xdr:col>
      <xdr:colOff>457200</xdr:colOff>
      <xdr:row>125</xdr:row>
      <xdr:rowOff>52388</xdr:rowOff>
    </xdr:to>
    <xdr:sp macro="" textlink="">
      <xdr:nvSpPr>
        <xdr:cNvPr id="596" name="Text Box 87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676400" y="12522200"/>
          <a:ext cx="1371600" cy="3317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A:566m</a:t>
          </a:r>
        </a:p>
      </xdr:txBody>
    </xdr:sp>
    <xdr:clientData/>
  </xdr:twoCellAnchor>
  <xdr:twoCellAnchor>
    <xdr:from>
      <xdr:col>14</xdr:col>
      <xdr:colOff>508000</xdr:colOff>
      <xdr:row>81</xdr:row>
      <xdr:rowOff>76200</xdr:rowOff>
    </xdr:from>
    <xdr:to>
      <xdr:col>16</xdr:col>
      <xdr:colOff>609600</xdr:colOff>
      <xdr:row>83</xdr:row>
      <xdr:rowOff>52388</xdr:rowOff>
    </xdr:to>
    <xdr:sp macro="" textlink="">
      <xdr:nvSpPr>
        <xdr:cNvPr id="597" name="Text Box 87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8877300" y="12522200"/>
          <a:ext cx="1371600" cy="3317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A:566m</a:t>
          </a:r>
        </a:p>
      </xdr:txBody>
    </xdr:sp>
    <xdr:clientData/>
  </xdr:twoCellAnchor>
  <xdr:twoCellAnchor>
    <xdr:from>
      <xdr:col>2</xdr:col>
      <xdr:colOff>622300</xdr:colOff>
      <xdr:row>39</xdr:row>
      <xdr:rowOff>50800</xdr:rowOff>
    </xdr:from>
    <xdr:to>
      <xdr:col>5</xdr:col>
      <xdr:colOff>88900</xdr:colOff>
      <xdr:row>41</xdr:row>
      <xdr:rowOff>26988</xdr:rowOff>
    </xdr:to>
    <xdr:sp macro="" textlink="">
      <xdr:nvSpPr>
        <xdr:cNvPr id="598" name="Text Box 87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943100" y="5562600"/>
          <a:ext cx="1371600" cy="3317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A:566m</a:t>
          </a:r>
        </a:p>
      </xdr:txBody>
    </xdr:sp>
    <xdr:clientData/>
  </xdr:twoCellAnchor>
  <xdr:twoCellAnchor>
    <xdr:from>
      <xdr:col>14</xdr:col>
      <xdr:colOff>546100</xdr:colOff>
      <xdr:row>38</xdr:row>
      <xdr:rowOff>127000</xdr:rowOff>
    </xdr:from>
    <xdr:to>
      <xdr:col>17</xdr:col>
      <xdr:colOff>12700</xdr:colOff>
      <xdr:row>40</xdr:row>
      <xdr:rowOff>103188</xdr:rowOff>
    </xdr:to>
    <xdr:sp macro="" textlink="">
      <xdr:nvSpPr>
        <xdr:cNvPr id="599" name="Text Box 87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8915400" y="5461000"/>
          <a:ext cx="1371600" cy="3317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A:566m</a:t>
          </a:r>
        </a:p>
      </xdr:txBody>
    </xdr:sp>
    <xdr:clientData/>
  </xdr:twoCellAnchor>
  <xdr:twoCellAnchor>
    <xdr:from>
      <xdr:col>1</xdr:col>
      <xdr:colOff>165100</xdr:colOff>
      <xdr:row>120</xdr:row>
      <xdr:rowOff>0</xdr:rowOff>
    </xdr:from>
    <xdr:to>
      <xdr:col>3</xdr:col>
      <xdr:colOff>333376</xdr:colOff>
      <xdr:row>121</xdr:row>
      <xdr:rowOff>69342</xdr:rowOff>
    </xdr:to>
    <xdr:sp macro="" textlink="">
      <xdr:nvSpPr>
        <xdr:cNvPr id="600" name="Text Box 87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7899400" y="18605500"/>
          <a:ext cx="1438276" cy="2471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B:366m</a:t>
          </a:r>
        </a:p>
      </xdr:txBody>
    </xdr:sp>
    <xdr:clientData/>
  </xdr:twoCellAnchor>
  <xdr:twoCellAnchor>
    <xdr:from>
      <xdr:col>13</xdr:col>
      <xdr:colOff>215900</xdr:colOff>
      <xdr:row>120</xdr:row>
      <xdr:rowOff>25400</xdr:rowOff>
    </xdr:from>
    <xdr:to>
      <xdr:col>15</xdr:col>
      <xdr:colOff>384176</xdr:colOff>
      <xdr:row>121</xdr:row>
      <xdr:rowOff>94742</xdr:rowOff>
    </xdr:to>
    <xdr:sp macro="" textlink="">
      <xdr:nvSpPr>
        <xdr:cNvPr id="601" name="Text Box 87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901700" y="11938000"/>
          <a:ext cx="1438276" cy="2471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B:366m</a:t>
          </a:r>
        </a:p>
      </xdr:txBody>
    </xdr:sp>
    <xdr:clientData/>
  </xdr:twoCellAnchor>
  <xdr:twoCellAnchor>
    <xdr:from>
      <xdr:col>13</xdr:col>
      <xdr:colOff>177800</xdr:colOff>
      <xdr:row>78</xdr:row>
      <xdr:rowOff>12700</xdr:rowOff>
    </xdr:from>
    <xdr:to>
      <xdr:col>15</xdr:col>
      <xdr:colOff>346076</xdr:colOff>
      <xdr:row>79</xdr:row>
      <xdr:rowOff>82042</xdr:rowOff>
    </xdr:to>
    <xdr:sp macro="" textlink="">
      <xdr:nvSpPr>
        <xdr:cNvPr id="602" name="Text Box 87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7912100" y="11925300"/>
          <a:ext cx="1438276" cy="2471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B:366m</a:t>
          </a:r>
        </a:p>
      </xdr:txBody>
    </xdr:sp>
    <xdr:clientData/>
  </xdr:twoCellAnchor>
  <xdr:twoCellAnchor>
    <xdr:from>
      <xdr:col>1</xdr:col>
      <xdr:colOff>203200</xdr:colOff>
      <xdr:row>36</xdr:row>
      <xdr:rowOff>25400</xdr:rowOff>
    </xdr:from>
    <xdr:to>
      <xdr:col>3</xdr:col>
      <xdr:colOff>371476</xdr:colOff>
      <xdr:row>37</xdr:row>
      <xdr:rowOff>94742</xdr:rowOff>
    </xdr:to>
    <xdr:sp macro="" textlink="">
      <xdr:nvSpPr>
        <xdr:cNvPr id="603" name="Text Box 87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889000" y="5003800"/>
          <a:ext cx="1438276" cy="2471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B:366m</a:t>
          </a:r>
        </a:p>
      </xdr:txBody>
    </xdr:sp>
    <xdr:clientData/>
  </xdr:twoCellAnchor>
  <xdr:twoCellAnchor>
    <xdr:from>
      <xdr:col>13</xdr:col>
      <xdr:colOff>152400</xdr:colOff>
      <xdr:row>35</xdr:row>
      <xdr:rowOff>101600</xdr:rowOff>
    </xdr:from>
    <xdr:to>
      <xdr:col>15</xdr:col>
      <xdr:colOff>320676</xdr:colOff>
      <xdr:row>36</xdr:row>
      <xdr:rowOff>170942</xdr:rowOff>
    </xdr:to>
    <xdr:sp macro="" textlink="">
      <xdr:nvSpPr>
        <xdr:cNvPr id="604" name="Text Box 87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7886700" y="4902200"/>
          <a:ext cx="1438276" cy="2471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lang="ja-JP" altLang="en-US">
              <a:latin typeface="ＭＳ 明朝" pitchFamily="17" charset="-128"/>
              <a:ea typeface="ＭＳ 明朝" pitchFamily="17" charset="-128"/>
            </a:rPr>
            <a:t>規制位置</a:t>
          </a:r>
          <a:r>
            <a:rPr lang="en-US" altLang="ja-JP">
              <a:latin typeface="ＭＳ 明朝" pitchFamily="17" charset="-128"/>
              <a:ea typeface="ＭＳ 明朝" pitchFamily="17" charset="-128"/>
            </a:rPr>
            <a:t>B:366m</a:t>
          </a:r>
        </a:p>
      </xdr:txBody>
    </xdr:sp>
    <xdr:clientData/>
  </xdr:twoCellAnchor>
  <xdr:twoCellAnchor>
    <xdr:from>
      <xdr:col>1</xdr:col>
      <xdr:colOff>254000</xdr:colOff>
      <xdr:row>17</xdr:row>
      <xdr:rowOff>12700</xdr:rowOff>
    </xdr:from>
    <xdr:to>
      <xdr:col>4</xdr:col>
      <xdr:colOff>419100</xdr:colOff>
      <xdr:row>21</xdr:row>
      <xdr:rowOff>88900</xdr:rowOff>
    </xdr:to>
    <xdr:sp macro="" textlink="">
      <xdr:nvSpPr>
        <xdr:cNvPr id="418" name="テキスト ボックス 417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SpPr txBox="1"/>
      </xdr:nvSpPr>
      <xdr:spPr>
        <a:xfrm>
          <a:off x="939800" y="1612900"/>
          <a:ext cx="2070100" cy="787400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到達立坑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ＮＯ．２マンホール</a:t>
          </a:r>
        </a:p>
      </xdr:txBody>
    </xdr:sp>
    <xdr:clientData/>
  </xdr:twoCellAnchor>
  <xdr:twoCellAnchor>
    <xdr:from>
      <xdr:col>8</xdr:col>
      <xdr:colOff>508000</xdr:colOff>
      <xdr:row>21</xdr:row>
      <xdr:rowOff>76200</xdr:rowOff>
    </xdr:from>
    <xdr:to>
      <xdr:col>8</xdr:col>
      <xdr:colOff>609600</xdr:colOff>
      <xdr:row>26</xdr:row>
      <xdr:rowOff>165100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H="1">
          <a:off x="5638800" y="2387600"/>
          <a:ext cx="101600" cy="9779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317500</xdr:colOff>
      <xdr:row>21</xdr:row>
      <xdr:rowOff>114300</xdr:rowOff>
    </xdr:from>
    <xdr:to>
      <xdr:col>2</xdr:col>
      <xdr:colOff>457200</xdr:colOff>
      <xdr:row>26</xdr:row>
      <xdr:rowOff>139700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H="1">
          <a:off x="1638300" y="2425700"/>
          <a:ext cx="139700" cy="9144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279400</xdr:colOff>
      <xdr:row>16</xdr:row>
      <xdr:rowOff>165100</xdr:rowOff>
    </xdr:from>
    <xdr:to>
      <xdr:col>10</xdr:col>
      <xdr:colOff>444500</xdr:colOff>
      <xdr:row>21</xdr:row>
      <xdr:rowOff>76200</xdr:rowOff>
    </xdr:to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SpPr txBox="1"/>
      </xdr:nvSpPr>
      <xdr:spPr>
        <a:xfrm>
          <a:off x="4775200" y="1587500"/>
          <a:ext cx="2070100" cy="800100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発進立坑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ＮＯ．１マンホール</a:t>
          </a:r>
        </a:p>
      </xdr:txBody>
    </xdr:sp>
    <xdr:clientData/>
  </xdr:twoCellAnchor>
  <xdr:twoCellAnchor>
    <xdr:from>
      <xdr:col>0</xdr:col>
      <xdr:colOff>349250</xdr:colOff>
      <xdr:row>4</xdr:row>
      <xdr:rowOff>82550</xdr:rowOff>
    </xdr:from>
    <xdr:to>
      <xdr:col>5</xdr:col>
      <xdr:colOff>485775</xdr:colOff>
      <xdr:row>8</xdr:row>
      <xdr:rowOff>50800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349250" y="82550"/>
          <a:ext cx="3251200" cy="654050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/>
            <a:t>工 </a:t>
          </a:r>
          <a:r>
            <a:rPr kumimoji="1" lang="ja-JP" altLang="en-US" sz="3200" baseline="0"/>
            <a:t> </a:t>
          </a:r>
          <a:r>
            <a:rPr kumimoji="1" lang="ja-JP" altLang="en-US" sz="3200"/>
            <a:t>事  計  画  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618044</xdr:colOff>
      <xdr:row>60</xdr:row>
      <xdr:rowOff>22135</xdr:rowOff>
    </xdr:from>
    <xdr:to>
      <xdr:col>21</xdr:col>
      <xdr:colOff>240430</xdr:colOff>
      <xdr:row>81</xdr:row>
      <xdr:rowOff>3435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2977" y="12137935"/>
          <a:ext cx="4165600" cy="4070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625937</xdr:colOff>
      <xdr:row>95</xdr:row>
      <xdr:rowOff>152401</xdr:rowOff>
    </xdr:from>
    <xdr:to>
      <xdr:col>5</xdr:col>
      <xdr:colOff>530687</xdr:colOff>
      <xdr:row>101</xdr:row>
      <xdr:rowOff>38101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3423566" y="19028230"/>
          <a:ext cx="677635" cy="10613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I1" sqref="I1"/>
    </sheetView>
  </sheetViews>
  <sheetFormatPr defaultColWidth="9" defaultRowHeight="15.95" customHeight="1"/>
  <cols>
    <col min="1" max="1" width="3.625" style="13" customWidth="1"/>
    <col min="2" max="2" width="10.625" style="13" customWidth="1"/>
    <col min="3" max="3" width="21.375" style="13" customWidth="1"/>
    <col min="4" max="4" width="46.25" style="13" customWidth="1"/>
    <col min="5" max="5" width="12.125" style="13" customWidth="1"/>
    <col min="6" max="6" width="17.25" style="27" customWidth="1"/>
    <col min="7" max="7" width="16.125" style="27" customWidth="1"/>
    <col min="8" max="8" width="18.125" style="32" customWidth="1"/>
    <col min="9" max="16384" width="9" style="13"/>
  </cols>
  <sheetData>
    <row r="1" spans="1:8" ht="15.6" customHeight="1">
      <c r="A1" s="256" t="s">
        <v>491</v>
      </c>
      <c r="B1" s="257"/>
      <c r="C1" s="257"/>
      <c r="D1" s="257"/>
      <c r="F1" s="258"/>
      <c r="G1" s="258"/>
      <c r="H1" s="259"/>
    </row>
    <row r="2" spans="1:8" ht="15.6" customHeight="1">
      <c r="A2" s="260" t="s">
        <v>610</v>
      </c>
    </row>
    <row r="3" spans="1:8" s="9" customFormat="1" ht="15.6" customHeight="1">
      <c r="A3" s="31"/>
      <c r="B3" s="5"/>
      <c r="C3" s="6"/>
      <c r="D3" s="30"/>
      <c r="E3" s="6"/>
      <c r="F3" s="7"/>
      <c r="G3" s="7"/>
      <c r="H3" s="8"/>
    </row>
    <row r="4" spans="1:8" s="12" customFormat="1" ht="15.95" customHeight="1">
      <c r="A4" s="475" t="s">
        <v>89</v>
      </c>
      <c r="B4" s="476"/>
      <c r="C4" s="476"/>
      <c r="D4" s="476"/>
      <c r="E4" s="477"/>
      <c r="F4" s="10" t="s">
        <v>90</v>
      </c>
      <c r="G4" s="10" t="s">
        <v>91</v>
      </c>
      <c r="H4" s="11" t="s">
        <v>92</v>
      </c>
    </row>
    <row r="5" spans="1:8" ht="15.95" customHeight="1">
      <c r="A5" s="478" t="s">
        <v>93</v>
      </c>
      <c r="B5" s="480" t="s">
        <v>94</v>
      </c>
      <c r="C5" s="482" t="s">
        <v>95</v>
      </c>
      <c r="D5" s="483"/>
      <c r="E5" s="484"/>
      <c r="F5" s="469">
        <v>113500000</v>
      </c>
      <c r="G5" s="469">
        <v>85000000</v>
      </c>
      <c r="H5" s="460">
        <f>IF(AND(F5="",G5=""),"",G5-F5)</f>
        <v>-28500000</v>
      </c>
    </row>
    <row r="6" spans="1:8" ht="15.95" customHeight="1">
      <c r="A6" s="468"/>
      <c r="B6" s="481"/>
      <c r="C6" s="462" t="s">
        <v>96</v>
      </c>
      <c r="D6" s="463"/>
      <c r="E6" s="464"/>
      <c r="F6" s="470"/>
      <c r="G6" s="470"/>
      <c r="H6" s="461"/>
    </row>
    <row r="7" spans="1:8" ht="15.95" customHeight="1">
      <c r="A7" s="468"/>
      <c r="B7" s="14" t="s">
        <v>613</v>
      </c>
      <c r="C7" s="15"/>
      <c r="D7" s="15"/>
      <c r="E7" s="16"/>
      <c r="F7" s="261">
        <v>2000000</v>
      </c>
      <c r="G7" s="261">
        <v>2000000</v>
      </c>
      <c r="H7" s="262">
        <f>IF(AND(F7="",G7=""),"",G7-F7)</f>
        <v>0</v>
      </c>
    </row>
    <row r="8" spans="1:8" ht="15.95" customHeight="1">
      <c r="A8" s="479"/>
      <c r="B8" s="465" t="s">
        <v>97</v>
      </c>
      <c r="C8" s="466"/>
      <c r="D8" s="466"/>
      <c r="E8" s="467"/>
      <c r="F8" s="263">
        <f t="shared" ref="F8:G8" si="0">SUM(F5:F7)</f>
        <v>115500000</v>
      </c>
      <c r="G8" s="263">
        <f t="shared" si="0"/>
        <v>87000000</v>
      </c>
      <c r="H8" s="264">
        <f t="shared" ref="H8:H31" si="1">IF(AND(F8="",G8=""),"",G8-F8)</f>
        <v>-28500000</v>
      </c>
    </row>
    <row r="9" spans="1:8" ht="15.95" customHeight="1">
      <c r="A9" s="468" t="s">
        <v>98</v>
      </c>
      <c r="B9" s="473" t="s">
        <v>184</v>
      </c>
      <c r="C9" s="472" t="s">
        <v>485</v>
      </c>
      <c r="D9" s="17" t="s">
        <v>611</v>
      </c>
      <c r="E9" s="18"/>
      <c r="F9" s="265">
        <f>'ｼｰﾄNO.5（表-5）3.3.2 61頁'!C79</f>
        <v>11749397.796</v>
      </c>
      <c r="G9" s="265">
        <f>'ｼｰﾄNO.5（表-5）3.3.2 61頁'!O127</f>
        <v>53645730.199200004</v>
      </c>
      <c r="H9" s="266">
        <f t="shared" si="1"/>
        <v>41896332.403200001</v>
      </c>
    </row>
    <row r="10" spans="1:8" ht="15.95" customHeight="1">
      <c r="A10" s="468"/>
      <c r="B10" s="474"/>
      <c r="C10" s="459"/>
      <c r="D10" s="19" t="s">
        <v>186</v>
      </c>
      <c r="E10" s="20"/>
      <c r="F10" s="261">
        <f>'ｼｰﾄNO.7（表6-2）3.3.3-2　64頁'!Z7-'ｼｰﾄNO.6（表6-1）3.3.3-1　63頁'!Z7</f>
        <v>921075.90649545193</v>
      </c>
      <c r="G10" s="261">
        <f>'ｼｰﾄNO.9（表6-4）3.3.3-4　66頁'!Z7-'ｼｰﾄNO.8（表6-3）3.3.3-3　65頁'!Z7</f>
        <v>3366067.5050155669</v>
      </c>
      <c r="H10" s="267">
        <f t="shared" si="1"/>
        <v>2444991.598520115</v>
      </c>
    </row>
    <row r="11" spans="1:8" ht="15.95" customHeight="1">
      <c r="A11" s="468"/>
      <c r="B11" s="474"/>
      <c r="C11" s="459"/>
      <c r="D11" s="19" t="s">
        <v>185</v>
      </c>
      <c r="E11" s="20"/>
      <c r="F11" s="261">
        <f>'ｼｰﾄNO.10（表-7）3.3.4　67頁'!H13</f>
        <v>255822.75</v>
      </c>
      <c r="G11" s="261">
        <f>'ｼｰﾄNO.10（表-7）3.3.4　67頁'!H24</f>
        <v>420007.5</v>
      </c>
      <c r="H11" s="267">
        <f t="shared" si="1"/>
        <v>164184.75</v>
      </c>
    </row>
    <row r="12" spans="1:8" ht="15.95" customHeight="1">
      <c r="A12" s="468"/>
      <c r="B12" s="474"/>
      <c r="C12" s="459"/>
      <c r="D12" s="19" t="s">
        <v>187</v>
      </c>
      <c r="E12" s="20"/>
      <c r="F12" s="261">
        <f>'ｼｰﾄNO.11（表-8）3.3.5 　68頁'!I13</f>
        <v>63.810616438356163</v>
      </c>
      <c r="G12" s="261">
        <f>'ｼｰﾄNO.11（表-8）3.3.5 　68頁'!I24</f>
        <v>104.76369863013697</v>
      </c>
      <c r="H12" s="267">
        <f t="shared" si="1"/>
        <v>40.953082191780808</v>
      </c>
    </row>
    <row r="13" spans="1:8" ht="21.75" customHeight="1">
      <c r="A13" s="468"/>
      <c r="B13" s="474"/>
      <c r="C13" s="459" t="s">
        <v>861</v>
      </c>
      <c r="D13" s="21" t="s">
        <v>188</v>
      </c>
      <c r="E13" s="22"/>
      <c r="F13" s="261">
        <f>'ｼｰﾄNO.12（表-9）3.4.1　69頁'!L13</f>
        <v>11368.165178571428</v>
      </c>
      <c r="G13" s="261">
        <f>'ｼｰﾄNO.12（表-9）3.4.1　69頁'!L24</f>
        <v>12555.883928571429</v>
      </c>
      <c r="H13" s="267">
        <f t="shared" si="1"/>
        <v>1187.7187500000018</v>
      </c>
    </row>
    <row r="14" spans="1:8" ht="25.5" customHeight="1">
      <c r="A14" s="468"/>
      <c r="B14" s="474"/>
      <c r="C14" s="459"/>
      <c r="D14" s="19" t="s">
        <v>189</v>
      </c>
      <c r="E14" s="20"/>
      <c r="F14" s="261">
        <f>'ｼｰﾄNO.13（表-10）3.4.2　70頁'!I13</f>
        <v>650.29419863013698</v>
      </c>
      <c r="G14" s="261">
        <f>'ｼｰﾄNO.13（表-10）3.4.2　70頁'!I24</f>
        <v>718.23538356164386</v>
      </c>
      <c r="H14" s="267">
        <f t="shared" si="1"/>
        <v>67.941184931506882</v>
      </c>
    </row>
    <row r="15" spans="1:8" ht="15.95" customHeight="1">
      <c r="A15" s="468"/>
      <c r="B15" s="471" t="s">
        <v>859</v>
      </c>
      <c r="C15" s="471"/>
      <c r="D15" s="459" t="s">
        <v>190</v>
      </c>
      <c r="E15" s="23" t="s">
        <v>99</v>
      </c>
      <c r="F15" s="261">
        <f>'ｼｰﾄNO.14（表11-1）3.5.1-1　71頁'!J10</f>
        <v>180157.5</v>
      </c>
      <c r="G15" s="261">
        <f>'ｼｰﾄNO.14（表11-1）3.5.1-1　71頁'!J16</f>
        <v>182277</v>
      </c>
      <c r="H15" s="267">
        <f t="shared" si="1"/>
        <v>2119.5</v>
      </c>
    </row>
    <row r="16" spans="1:8" ht="15.95" customHeight="1">
      <c r="A16" s="468"/>
      <c r="B16" s="471"/>
      <c r="C16" s="471"/>
      <c r="D16" s="459"/>
      <c r="E16" s="23" t="s">
        <v>191</v>
      </c>
      <c r="F16" s="261">
        <f>'ｼｰﾄNO.15（表11-2）3.5.1-2　72頁'!I10</f>
        <v>2581875</v>
      </c>
      <c r="G16" s="261">
        <f>'ｼｰﾄNO.15（表11-2）3.5.1-2　72頁'!I16</f>
        <v>2612250</v>
      </c>
      <c r="H16" s="267">
        <f t="shared" si="1"/>
        <v>30375</v>
      </c>
    </row>
    <row r="17" spans="1:8" ht="15.95" customHeight="1">
      <c r="A17" s="468"/>
      <c r="B17" s="471"/>
      <c r="C17" s="471"/>
      <c r="D17" s="459"/>
      <c r="E17" s="23" t="s">
        <v>192</v>
      </c>
      <c r="F17" s="261">
        <f>'ｼｰﾄNO.16（表11-3）3.5.1-3　73頁'!I10</f>
        <v>2295000</v>
      </c>
      <c r="G17" s="261">
        <f>'ｼｰﾄNO.16（表11-3）3.5.1-3　73頁'!I16</f>
        <v>2322000</v>
      </c>
      <c r="H17" s="267">
        <f t="shared" si="1"/>
        <v>27000</v>
      </c>
    </row>
    <row r="18" spans="1:8" ht="15.95" customHeight="1">
      <c r="A18" s="468"/>
      <c r="B18" s="471"/>
      <c r="C18" s="471"/>
      <c r="D18" s="459" t="s">
        <v>193</v>
      </c>
      <c r="E18" s="23" t="s">
        <v>99</v>
      </c>
      <c r="F18" s="261">
        <f>'ｼｰﾄNO.17（表12-1）3.5.2-1　74頁'!J10</f>
        <v>21618.899999999998</v>
      </c>
      <c r="G18" s="261">
        <f>'ｼｰﾄNO.17（表12-1）3.5.2-1　74頁'!J16</f>
        <v>21873.239999999998</v>
      </c>
      <c r="H18" s="267">
        <f t="shared" si="1"/>
        <v>254.34000000000015</v>
      </c>
    </row>
    <row r="19" spans="1:8" ht="15.95" customHeight="1">
      <c r="A19" s="468"/>
      <c r="B19" s="471"/>
      <c r="C19" s="471"/>
      <c r="D19" s="459"/>
      <c r="E19" s="23" t="s">
        <v>191</v>
      </c>
      <c r="F19" s="261">
        <f>'ｼｰﾄNO.18（表12-2）3.5.2-2　75頁'!I10</f>
        <v>1936406.25</v>
      </c>
      <c r="G19" s="261">
        <f>'ｼｰﾄNO.18（表12-2）3.5.2-2　75頁'!I16</f>
        <v>1959187.5</v>
      </c>
      <c r="H19" s="267">
        <f t="shared" si="1"/>
        <v>22781.25</v>
      </c>
    </row>
    <row r="20" spans="1:8" ht="15.95" customHeight="1">
      <c r="A20" s="468"/>
      <c r="B20" s="471"/>
      <c r="C20" s="471"/>
      <c r="D20" s="459"/>
      <c r="E20" s="23" t="s">
        <v>192</v>
      </c>
      <c r="F20" s="261">
        <f>'ｼｰﾄNO.19（表12-3）3.5.2-3　76頁'!I10</f>
        <v>1721250</v>
      </c>
      <c r="G20" s="261">
        <f>'ｼｰﾄNO.19（表12-3）3.5.2-3　76頁'!I16</f>
        <v>1741500</v>
      </c>
      <c r="H20" s="267">
        <f t="shared" si="1"/>
        <v>20250</v>
      </c>
    </row>
    <row r="21" spans="1:8" ht="15.95" customHeight="1">
      <c r="A21" s="468"/>
      <c r="B21" s="471"/>
      <c r="C21" s="471"/>
      <c r="D21" s="485" t="s">
        <v>194</v>
      </c>
      <c r="E21" s="486"/>
      <c r="F21" s="261">
        <f>'ｼｰﾄNO.21（表13-2）3.5.3-2　78頁'!W7-'ｼｰﾄNO.20（表13-1）3.5.3-1　77頁'!W7</f>
        <v>68703.975301955128</v>
      </c>
      <c r="G21" s="261">
        <f>'ｼｰﾄNO.23（表13-4）3.5.3-4　80頁'!W7-'ｼｰﾄNO.22（表13-3）3.5.3-3　79頁'!W7</f>
        <v>134205.44870288414</v>
      </c>
      <c r="H21" s="267">
        <f t="shared" si="1"/>
        <v>65501.473400929011</v>
      </c>
    </row>
    <row r="22" spans="1:8" ht="15.95" customHeight="1">
      <c r="A22" s="468"/>
      <c r="B22" s="471"/>
      <c r="C22" s="471"/>
      <c r="D22" s="459" t="s">
        <v>459</v>
      </c>
      <c r="E22" s="23" t="s">
        <v>99</v>
      </c>
      <c r="F22" s="261">
        <f>'ｼｰﾄNO.24（表14-1）3.5.4-1　81頁'!L11+'ｼｰﾄNO.24（表14-1）3.5.4-1　81頁'!M33</f>
        <v>150.14846798343416</v>
      </c>
      <c r="G22" s="261">
        <f>'ｼｰﾄNO.24（表14-1）3.5.4-1　81頁'!L17+'ｼｰﾄNO.24（表14-1）3.5.4-1　81頁'!M39</f>
        <v>292.97877534246572</v>
      </c>
      <c r="H22" s="267">
        <f t="shared" si="1"/>
        <v>142.83030735903156</v>
      </c>
    </row>
    <row r="23" spans="1:8" ht="15.95" customHeight="1">
      <c r="A23" s="468"/>
      <c r="B23" s="471"/>
      <c r="C23" s="471"/>
      <c r="D23" s="459"/>
      <c r="E23" s="23" t="s">
        <v>191</v>
      </c>
      <c r="F23" s="261">
        <f>'ｼｰﾄNO.25（表14-2）3.5.4-2　82頁'!I11+'ｼｰﾄNO.25（表14-2）3.5.4-2　82頁'!L31</f>
        <v>1636.8694520547942</v>
      </c>
      <c r="G23" s="261">
        <f>'ｼｰﾄNO.25（表14-2）3.5.4-2　82頁'!I17+'ｼｰﾄNO.25（表14-2）3.5.4-2　82頁'!L37</f>
        <v>3193.958712328767</v>
      </c>
      <c r="H23" s="267">
        <f t="shared" si="1"/>
        <v>1557.0892602739727</v>
      </c>
    </row>
    <row r="24" spans="1:8" ht="15.95" customHeight="1">
      <c r="A24" s="468"/>
      <c r="B24" s="471"/>
      <c r="C24" s="471"/>
      <c r="D24" s="459"/>
      <c r="E24" s="23" t="s">
        <v>192</v>
      </c>
      <c r="F24" s="261">
        <f>'ｼｰﾄNO.26（表14-3）3.5.4-3　83頁'!I11+'ｼｰﾄNO.26（表14-3）3.5.4-3　83頁'!L31</f>
        <v>2405.1285616438354</v>
      </c>
      <c r="G24" s="261">
        <f>'ｼｰﾄNO.26（表14-3）3.5.4-3　83頁'!I17+'ｼｰﾄNO.26（表14-3）3.5.4-3　83頁'!L37</f>
        <v>4693.0323698630136</v>
      </c>
      <c r="H24" s="267">
        <f t="shared" si="1"/>
        <v>2287.9038082191782</v>
      </c>
    </row>
    <row r="25" spans="1:8" ht="27.75" customHeight="1">
      <c r="A25" s="468"/>
      <c r="B25" s="471"/>
      <c r="C25" s="471"/>
      <c r="D25" s="229" t="s">
        <v>612</v>
      </c>
      <c r="E25" s="229" t="s">
        <v>99</v>
      </c>
      <c r="F25" s="261">
        <f>'ｼｰﾄNO.27（表15-1）3.5.5-1　84頁'!H10+'ｼｰﾄNO.28（表15-2）3.5.5-2　85頁'!I10+'ｼｰﾄNO.29（表15-3）3.5.5-3　86頁'!J13</f>
        <v>2349867.9564</v>
      </c>
      <c r="G25" s="261">
        <f>'ｼｰﾄNO.27（表15-1）3.5.5-1　84頁'!H16+'ｼｰﾄNO.28（表15-2）3.5.5-2　85頁'!I16+'ｼｰﾄNO.29（表15-3）3.5.5-3　86頁'!J24</f>
        <v>2383538.8607999999</v>
      </c>
      <c r="H25" s="267">
        <f t="shared" si="1"/>
        <v>33670.904399999883</v>
      </c>
    </row>
    <row r="26" spans="1:8" ht="15.95" customHeight="1">
      <c r="A26" s="468"/>
      <c r="B26" s="471"/>
      <c r="C26" s="471"/>
      <c r="D26" s="459" t="s">
        <v>460</v>
      </c>
      <c r="E26" s="23" t="s">
        <v>191</v>
      </c>
      <c r="F26" s="261">
        <f>'ｼｰﾄNO.30（表16-1）3.5.6-1　87頁'!H10</f>
        <v>3400000</v>
      </c>
      <c r="G26" s="261">
        <f>'ｼｰﾄNO.30（表16-1）3.5.6-1　87頁'!H16</f>
        <v>3440000</v>
      </c>
      <c r="H26" s="267">
        <f t="shared" si="1"/>
        <v>40000</v>
      </c>
    </row>
    <row r="27" spans="1:8" ht="15.95" customHeight="1">
      <c r="A27" s="468"/>
      <c r="B27" s="471"/>
      <c r="C27" s="471"/>
      <c r="D27" s="459"/>
      <c r="E27" s="23" t="s">
        <v>192</v>
      </c>
      <c r="F27" s="261">
        <f>'ｼｰﾄNO.31（表16-2）3.5.6-2　88頁'!H10</f>
        <v>3400000</v>
      </c>
      <c r="G27" s="261">
        <f>'ｼｰﾄNO.31（表16-2）3.5.6-2　88頁'!H16</f>
        <v>3440000</v>
      </c>
      <c r="H27" s="267">
        <f t="shared" si="1"/>
        <v>40000</v>
      </c>
    </row>
    <row r="28" spans="1:8" ht="15.95" customHeight="1">
      <c r="A28" s="468"/>
      <c r="B28" s="471" t="s">
        <v>860</v>
      </c>
      <c r="C28" s="471"/>
      <c r="D28" s="459" t="s">
        <v>852</v>
      </c>
      <c r="E28" s="459"/>
      <c r="F28" s="261">
        <f>'ｼｰﾄNO.32（表-17）3.6.1　89頁'!J9+'ｼｰﾄNO.32（表-17）3.6.1　89頁'!P9</f>
        <v>63381.458836363643</v>
      </c>
      <c r="G28" s="261">
        <f>'ｼｰﾄNO.32（表-17）3.6.1　89頁'!J10+'ｼｰﾄNO.32（表-17）3.6.1　89頁'!P10</f>
        <v>98553.431389090911</v>
      </c>
      <c r="H28" s="267">
        <f t="shared" si="1"/>
        <v>35171.972552727268</v>
      </c>
    </row>
    <row r="29" spans="1:8" ht="27.75" customHeight="1">
      <c r="A29" s="468"/>
      <c r="B29" s="471"/>
      <c r="C29" s="471"/>
      <c r="D29" s="459" t="s">
        <v>858</v>
      </c>
      <c r="E29" s="459"/>
      <c r="F29" s="261"/>
      <c r="G29" s="261"/>
      <c r="H29" s="267" t="str">
        <f t="shared" si="1"/>
        <v/>
      </c>
    </row>
    <row r="30" spans="1:8" ht="25.5" customHeight="1" thickBot="1">
      <c r="A30" s="468"/>
      <c r="B30" s="24" t="s">
        <v>97</v>
      </c>
      <c r="C30" s="25"/>
      <c r="D30" s="25"/>
      <c r="E30" s="26"/>
      <c r="F30" s="268">
        <f>SUM(F9:F29)</f>
        <v>30960831.909509093</v>
      </c>
      <c r="G30" s="268">
        <f>SUM(G9:G29)</f>
        <v>75788749.537975863</v>
      </c>
      <c r="H30" s="269">
        <f t="shared" si="1"/>
        <v>44827917.62846677</v>
      </c>
    </row>
    <row r="31" spans="1:8" ht="18" customHeight="1" thickTop="1">
      <c r="A31" s="456" t="s">
        <v>100</v>
      </c>
      <c r="B31" s="457"/>
      <c r="C31" s="457"/>
      <c r="D31" s="457"/>
      <c r="E31" s="458"/>
      <c r="F31" s="270">
        <f>SUM(F30,F8)</f>
        <v>146460831.90950909</v>
      </c>
      <c r="G31" s="270">
        <f>SUM(G30,G8)</f>
        <v>162788749.53797585</v>
      </c>
      <c r="H31" s="271">
        <f t="shared" si="1"/>
        <v>16327917.628466755</v>
      </c>
    </row>
    <row r="32" spans="1:8" ht="15.95" customHeight="1">
      <c r="H32" s="28"/>
    </row>
  </sheetData>
  <mergeCells count="23">
    <mergeCell ref="D26:D27"/>
    <mergeCell ref="D22:D24"/>
    <mergeCell ref="A4:E4"/>
    <mergeCell ref="A5:A8"/>
    <mergeCell ref="B5:B6"/>
    <mergeCell ref="C5:E5"/>
    <mergeCell ref="D21:E21"/>
    <mergeCell ref="A31:E31"/>
    <mergeCell ref="D18:D20"/>
    <mergeCell ref="D15:D17"/>
    <mergeCell ref="H5:H6"/>
    <mergeCell ref="C6:E6"/>
    <mergeCell ref="B8:E8"/>
    <mergeCell ref="A9:A30"/>
    <mergeCell ref="G5:G6"/>
    <mergeCell ref="F5:F6"/>
    <mergeCell ref="B15:C27"/>
    <mergeCell ref="B28:C29"/>
    <mergeCell ref="D28:E28"/>
    <mergeCell ref="D29:E29"/>
    <mergeCell ref="C9:C12"/>
    <mergeCell ref="C13:C14"/>
    <mergeCell ref="B9:B14"/>
  </mergeCells>
  <phoneticPr fontId="3"/>
  <printOptions horizontalCentered="1"/>
  <pageMargins left="0.25" right="0.25" top="0.75" bottom="0.75" header="0.3" footer="0.3"/>
  <pageSetup paperSize="9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zoomScale="70" zoomScaleNormal="70" zoomScalePageLayoutView="90" workbookViewId="0">
      <selection activeCell="V1" sqref="V1:W1"/>
    </sheetView>
  </sheetViews>
  <sheetFormatPr defaultColWidth="8.875" defaultRowHeight="13.5"/>
  <cols>
    <col min="1" max="1" width="9.875" style="62" customWidth="1"/>
    <col min="2" max="11" width="8.875" style="62"/>
    <col min="12" max="12" width="1.125" style="62" customWidth="1"/>
    <col min="13" max="13" width="8.875" style="62" customWidth="1"/>
    <col min="14" max="16384" width="8.875" style="62"/>
  </cols>
  <sheetData>
    <row r="1" spans="1:23" ht="21" customHeight="1">
      <c r="A1" s="184" t="s">
        <v>885</v>
      </c>
      <c r="U1" s="210"/>
      <c r="V1" s="487"/>
      <c r="W1" s="487"/>
    </row>
    <row r="2" spans="1:23" ht="21" customHeight="1">
      <c r="A2" s="184"/>
      <c r="U2" s="210"/>
      <c r="V2" s="211"/>
      <c r="W2" s="211"/>
    </row>
    <row r="3" spans="1:23" ht="13.15" customHeight="1"/>
    <row r="4" spans="1:23" ht="13.15" customHeight="1"/>
    <row r="50" ht="12.6" customHeight="1"/>
    <row r="86" ht="13.15" customHeight="1"/>
    <row r="87" ht="13.15" customHeight="1"/>
    <row r="88" ht="13.15" customHeight="1"/>
    <row r="89" ht="13.15" customHeight="1"/>
  </sheetData>
  <mergeCells count="1">
    <mergeCell ref="V1:W1"/>
  </mergeCells>
  <phoneticPr fontId="3"/>
  <printOptions horizontalCentered="1"/>
  <pageMargins left="0.25" right="0.25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Normal="100" workbookViewId="0">
      <selection activeCell="I1" sqref="I1"/>
    </sheetView>
  </sheetViews>
  <sheetFormatPr defaultColWidth="8.875" defaultRowHeight="16.350000000000001" customHeight="1"/>
  <cols>
    <col min="1" max="1" width="5.5" style="1" customWidth="1"/>
    <col min="2" max="2" width="6" style="33" customWidth="1"/>
    <col min="3" max="3" width="6.875" style="33" customWidth="1"/>
    <col min="4" max="4" width="46.125" style="1" customWidth="1"/>
    <col min="5" max="5" width="4.625" style="4" customWidth="1"/>
    <col min="6" max="6" width="9" style="2"/>
    <col min="7" max="7" width="8.75" style="1" customWidth="1"/>
    <col min="8" max="8" width="21.625" style="1" customWidth="1"/>
    <col min="9" max="16384" width="8.875" style="1"/>
  </cols>
  <sheetData>
    <row r="1" spans="1:9" ht="16.350000000000001" customHeight="1">
      <c r="A1" s="497" t="s">
        <v>882</v>
      </c>
      <c r="B1" s="498"/>
      <c r="C1" s="498"/>
      <c r="D1" s="498"/>
      <c r="E1" s="498"/>
      <c r="F1" s="498"/>
      <c r="H1" s="197"/>
    </row>
    <row r="4" spans="1:9" ht="16.350000000000001" customHeight="1">
      <c r="A4" s="34" t="s">
        <v>0</v>
      </c>
    </row>
    <row r="5" spans="1:9" ht="16.350000000000001" customHeight="1">
      <c r="A5" s="35"/>
      <c r="B5" s="36" t="s">
        <v>1</v>
      </c>
      <c r="C5" s="495" t="s">
        <v>5</v>
      </c>
      <c r="D5" s="495"/>
      <c r="E5" s="37" t="s">
        <v>32</v>
      </c>
      <c r="F5" s="272">
        <v>2</v>
      </c>
      <c r="G5" s="35" t="s">
        <v>8</v>
      </c>
      <c r="H5" s="35"/>
      <c r="I5" s="3"/>
    </row>
    <row r="6" spans="1:9" ht="16.350000000000001" customHeight="1">
      <c r="A6" s="35"/>
      <c r="B6" s="36" t="s">
        <v>2</v>
      </c>
      <c r="C6" s="495" t="s">
        <v>6</v>
      </c>
      <c r="D6" s="495"/>
      <c r="E6" s="37" t="s">
        <v>201</v>
      </c>
      <c r="F6" s="272">
        <v>3</v>
      </c>
      <c r="G6" s="35" t="s">
        <v>202</v>
      </c>
      <c r="H6" s="35"/>
      <c r="I6" s="3"/>
    </row>
    <row r="7" spans="1:9" ht="16.350000000000001" customHeight="1">
      <c r="A7" s="35"/>
      <c r="B7" s="36" t="s">
        <v>3</v>
      </c>
      <c r="C7" s="495" t="s">
        <v>7</v>
      </c>
      <c r="D7" s="495"/>
      <c r="E7" s="37" t="s">
        <v>203</v>
      </c>
      <c r="F7" s="272">
        <v>1</v>
      </c>
      <c r="G7" s="35" t="s">
        <v>9</v>
      </c>
      <c r="H7" s="35" t="s">
        <v>35</v>
      </c>
      <c r="I7" s="3"/>
    </row>
    <row r="8" spans="1:9" ht="16.350000000000001" customHeight="1">
      <c r="A8" s="35"/>
      <c r="B8" s="36"/>
      <c r="C8" s="36"/>
      <c r="D8" s="35"/>
      <c r="E8" s="37"/>
      <c r="F8" s="38"/>
      <c r="G8" s="35"/>
      <c r="H8" s="35"/>
      <c r="I8" s="3"/>
    </row>
    <row r="9" spans="1:9" ht="16.350000000000001" customHeight="1">
      <c r="A9" s="35"/>
      <c r="B9" s="36"/>
      <c r="C9" s="36"/>
      <c r="D9" s="35"/>
      <c r="E9" s="37"/>
      <c r="F9" s="38"/>
      <c r="G9" s="35"/>
      <c r="H9" s="35"/>
      <c r="I9" s="3"/>
    </row>
    <row r="10" spans="1:9" ht="16.350000000000001" customHeight="1">
      <c r="A10" s="34" t="s">
        <v>10</v>
      </c>
    </row>
    <row r="11" spans="1:9" ht="16.350000000000001" customHeight="1">
      <c r="A11" s="35"/>
      <c r="B11" s="36" t="s">
        <v>204</v>
      </c>
      <c r="C11" s="495" t="s">
        <v>11</v>
      </c>
      <c r="D11" s="495"/>
      <c r="E11" s="37" t="s">
        <v>210</v>
      </c>
      <c r="F11" s="272">
        <v>40</v>
      </c>
      <c r="G11" s="35" t="s">
        <v>17</v>
      </c>
      <c r="H11" s="35"/>
    </row>
    <row r="12" spans="1:9" ht="16.350000000000001" customHeight="1">
      <c r="A12" s="35"/>
      <c r="B12" s="36" t="s">
        <v>2</v>
      </c>
      <c r="C12" s="495" t="s">
        <v>13</v>
      </c>
      <c r="D12" s="495"/>
      <c r="E12" s="37" t="s">
        <v>205</v>
      </c>
      <c r="F12" s="272">
        <v>1000</v>
      </c>
      <c r="G12" s="39" t="s">
        <v>200</v>
      </c>
      <c r="H12" s="35"/>
    </row>
    <row r="13" spans="1:9" ht="16.350000000000001" customHeight="1">
      <c r="A13" s="35"/>
      <c r="B13" s="36" t="s">
        <v>3</v>
      </c>
      <c r="C13" s="495" t="s">
        <v>14</v>
      </c>
      <c r="D13" s="495"/>
      <c r="E13" s="37" t="s">
        <v>206</v>
      </c>
      <c r="F13" s="272">
        <v>5</v>
      </c>
      <c r="G13" s="35" t="s">
        <v>207</v>
      </c>
      <c r="H13" s="35"/>
    </row>
    <row r="14" spans="1:9" ht="16.350000000000001" customHeight="1">
      <c r="A14" s="35"/>
      <c r="B14" s="36" t="s">
        <v>4</v>
      </c>
      <c r="C14" s="495" t="s">
        <v>15</v>
      </c>
      <c r="D14" s="495"/>
      <c r="E14" s="37" t="s">
        <v>208</v>
      </c>
      <c r="F14" s="272">
        <v>5</v>
      </c>
      <c r="G14" s="35" t="s">
        <v>207</v>
      </c>
      <c r="H14" s="35"/>
    </row>
    <row r="15" spans="1:9" ht="16.350000000000001" customHeight="1">
      <c r="A15" s="35"/>
      <c r="B15" s="36" t="s">
        <v>12</v>
      </c>
      <c r="C15" s="495" t="s">
        <v>16</v>
      </c>
      <c r="D15" s="495"/>
      <c r="E15" s="37" t="s">
        <v>209</v>
      </c>
      <c r="F15" s="272">
        <v>15</v>
      </c>
      <c r="G15" s="35" t="s">
        <v>207</v>
      </c>
      <c r="H15" s="35"/>
    </row>
    <row r="16" spans="1:9" ht="16.350000000000001" customHeight="1">
      <c r="A16" s="3"/>
      <c r="B16" s="40"/>
      <c r="C16" s="40"/>
      <c r="D16" s="3"/>
      <c r="E16" s="41"/>
      <c r="F16" s="42"/>
      <c r="G16" s="3"/>
      <c r="H16" s="3"/>
    </row>
    <row r="17" spans="1:11" ht="16.350000000000001" customHeight="1">
      <c r="A17" s="3"/>
      <c r="B17" s="40"/>
      <c r="C17" s="40"/>
      <c r="D17" s="3"/>
      <c r="E17" s="41"/>
      <c r="F17" s="42"/>
      <c r="G17" s="3"/>
      <c r="H17" s="3"/>
    </row>
    <row r="18" spans="1:11" ht="16.350000000000001" customHeight="1">
      <c r="A18" s="34" t="s">
        <v>18</v>
      </c>
    </row>
    <row r="19" spans="1:11" ht="16.350000000000001" customHeight="1">
      <c r="A19" s="35"/>
      <c r="B19" s="36" t="s">
        <v>204</v>
      </c>
      <c r="C19" s="495" t="s">
        <v>19</v>
      </c>
      <c r="D19" s="495"/>
      <c r="E19" s="37" t="s">
        <v>217</v>
      </c>
      <c r="F19" s="272">
        <v>100</v>
      </c>
      <c r="G19" s="35" t="s">
        <v>22</v>
      </c>
      <c r="H19" s="35"/>
    </row>
    <row r="20" spans="1:11" ht="16.350000000000001" customHeight="1">
      <c r="A20" s="35"/>
      <c r="B20" s="36" t="s">
        <v>2</v>
      </c>
      <c r="C20" s="495" t="s">
        <v>20</v>
      </c>
      <c r="D20" s="495"/>
      <c r="E20" s="37" t="s">
        <v>211</v>
      </c>
      <c r="F20" s="272">
        <v>2</v>
      </c>
      <c r="G20" s="35" t="s">
        <v>22</v>
      </c>
      <c r="H20" s="35"/>
    </row>
    <row r="21" spans="1:11" ht="16.350000000000001" customHeight="1">
      <c r="A21" s="35"/>
      <c r="B21" s="36" t="s">
        <v>3</v>
      </c>
      <c r="C21" s="495" t="s">
        <v>21</v>
      </c>
      <c r="D21" s="495"/>
      <c r="E21" s="37" t="s">
        <v>212</v>
      </c>
      <c r="F21" s="272">
        <v>3</v>
      </c>
      <c r="G21" s="35" t="s">
        <v>22</v>
      </c>
      <c r="H21" s="35"/>
    </row>
    <row r="22" spans="1:11" ht="16.350000000000001" customHeight="1">
      <c r="A22" s="35"/>
      <c r="B22" s="36" t="s">
        <v>4</v>
      </c>
      <c r="C22" s="499" t="s">
        <v>213</v>
      </c>
      <c r="D22" s="499"/>
      <c r="E22" s="37" t="s">
        <v>214</v>
      </c>
      <c r="F22" s="272">
        <v>50</v>
      </c>
      <c r="G22" s="35" t="s">
        <v>207</v>
      </c>
      <c r="H22" s="35"/>
    </row>
    <row r="23" spans="1:11" ht="16.350000000000001" customHeight="1">
      <c r="A23" s="35"/>
      <c r="B23" s="36" t="s">
        <v>12</v>
      </c>
      <c r="C23" s="495" t="s">
        <v>215</v>
      </c>
      <c r="D23" s="495"/>
      <c r="E23" s="37" t="s">
        <v>216</v>
      </c>
      <c r="F23" s="272">
        <v>0</v>
      </c>
      <c r="G23" s="35" t="s">
        <v>22</v>
      </c>
      <c r="H23" s="35"/>
    </row>
    <row r="24" spans="1:11" ht="16.350000000000001" customHeight="1">
      <c r="A24" s="35"/>
      <c r="B24" s="488"/>
      <c r="C24" s="488"/>
      <c r="D24" s="488"/>
      <c r="E24" s="37"/>
      <c r="F24" s="43"/>
      <c r="G24" s="35"/>
      <c r="H24" s="35"/>
    </row>
    <row r="25" spans="1:11" ht="20.25" customHeight="1">
      <c r="A25" s="44"/>
      <c r="B25" s="45"/>
      <c r="C25" s="45"/>
      <c r="D25" s="44"/>
      <c r="E25" s="46"/>
      <c r="F25" s="47"/>
      <c r="G25" s="44"/>
      <c r="H25" s="44"/>
    </row>
    <row r="26" spans="1:11" ht="16.350000000000001" customHeight="1">
      <c r="A26" s="34" t="s">
        <v>23</v>
      </c>
    </row>
    <row r="27" spans="1:11" ht="16.350000000000001" customHeight="1">
      <c r="A27" s="35"/>
      <c r="B27" s="36" t="s">
        <v>204</v>
      </c>
      <c r="C27" s="495" t="s">
        <v>25</v>
      </c>
      <c r="D27" s="495"/>
      <c r="E27" s="37" t="s">
        <v>218</v>
      </c>
      <c r="F27" s="272">
        <v>200</v>
      </c>
      <c r="G27" s="35" t="s">
        <v>219</v>
      </c>
      <c r="H27" s="35"/>
      <c r="I27" s="35"/>
    </row>
    <row r="28" spans="1:11" ht="16.350000000000001" customHeight="1">
      <c r="A28" s="35"/>
      <c r="B28" s="36" t="s">
        <v>2</v>
      </c>
      <c r="C28" s="495" t="s">
        <v>26</v>
      </c>
      <c r="D28" s="495"/>
      <c r="E28" s="37" t="s">
        <v>220</v>
      </c>
      <c r="F28" s="272">
        <v>566</v>
      </c>
      <c r="G28" s="35" t="s">
        <v>202</v>
      </c>
      <c r="H28" s="35" t="s">
        <v>304</v>
      </c>
      <c r="I28" s="35"/>
    </row>
    <row r="29" spans="1:11" ht="16.350000000000001" customHeight="1">
      <c r="A29" s="35"/>
      <c r="B29" s="36" t="s">
        <v>3</v>
      </c>
      <c r="C29" s="495" t="s">
        <v>27</v>
      </c>
      <c r="D29" s="495"/>
      <c r="E29" s="37" t="s">
        <v>221</v>
      </c>
      <c r="F29" s="272">
        <v>366</v>
      </c>
      <c r="G29" s="35" t="s">
        <v>202</v>
      </c>
      <c r="H29" s="35" t="s">
        <v>304</v>
      </c>
      <c r="I29" s="35"/>
    </row>
    <row r="30" spans="1:11" ht="16.350000000000001" customHeight="1">
      <c r="A30" s="35"/>
      <c r="B30" s="36" t="s">
        <v>4</v>
      </c>
      <c r="C30" s="495" t="s">
        <v>28</v>
      </c>
      <c r="D30" s="495"/>
      <c r="E30" s="37" t="s">
        <v>222</v>
      </c>
      <c r="F30" s="272">
        <v>9</v>
      </c>
      <c r="G30" s="39" t="s">
        <v>520</v>
      </c>
      <c r="H30" s="35"/>
      <c r="I30" s="35"/>
      <c r="J30" s="209"/>
      <c r="K30" s="209"/>
    </row>
    <row r="31" spans="1:11" ht="16.350000000000001" customHeight="1">
      <c r="A31" s="35"/>
      <c r="B31" s="36" t="s">
        <v>12</v>
      </c>
      <c r="C31" s="496" t="s">
        <v>88</v>
      </c>
      <c r="D31" s="496"/>
      <c r="E31" s="200" t="s">
        <v>223</v>
      </c>
      <c r="F31" s="273">
        <v>5</v>
      </c>
      <c r="G31" s="35" t="s">
        <v>29</v>
      </c>
      <c r="H31" s="35"/>
      <c r="I31" s="35"/>
    </row>
    <row r="32" spans="1:11" ht="16.350000000000001" customHeight="1">
      <c r="A32" s="35"/>
      <c r="B32" s="206"/>
      <c r="C32" s="489" t="s">
        <v>862</v>
      </c>
      <c r="D32" s="202" t="s">
        <v>871</v>
      </c>
      <c r="E32" s="207"/>
      <c r="F32" s="274">
        <v>11</v>
      </c>
      <c r="G32" s="35" t="s">
        <v>123</v>
      </c>
      <c r="H32" s="35"/>
      <c r="I32" s="35"/>
    </row>
    <row r="33" spans="1:9" ht="16.350000000000001" customHeight="1">
      <c r="A33" s="35"/>
      <c r="B33" s="206"/>
      <c r="C33" s="490"/>
      <c r="D33" s="203" t="s">
        <v>872</v>
      </c>
      <c r="E33" s="208"/>
      <c r="F33" s="275">
        <v>18</v>
      </c>
      <c r="G33" s="199" t="s">
        <v>123</v>
      </c>
      <c r="H33" s="35"/>
      <c r="I33" s="35"/>
    </row>
    <row r="34" spans="1:9" ht="16.350000000000001" customHeight="1">
      <c r="A34" s="35"/>
      <c r="B34" s="206"/>
      <c r="C34" s="491"/>
      <c r="D34" s="204" t="s">
        <v>873</v>
      </c>
      <c r="E34" s="201"/>
      <c r="F34" s="275">
        <v>38</v>
      </c>
      <c r="G34" s="35" t="s">
        <v>123</v>
      </c>
      <c r="H34" s="35"/>
      <c r="I34" s="35"/>
    </row>
    <row r="35" spans="1:9" ht="16.350000000000001" customHeight="1">
      <c r="A35" s="35"/>
      <c r="B35" s="206"/>
      <c r="C35" s="492" t="s">
        <v>863</v>
      </c>
      <c r="D35" s="202" t="s">
        <v>874</v>
      </c>
      <c r="E35" s="207"/>
      <c r="F35" s="274">
        <v>16</v>
      </c>
      <c r="G35" s="35" t="s">
        <v>123</v>
      </c>
      <c r="H35" s="35"/>
      <c r="I35" s="35"/>
    </row>
    <row r="36" spans="1:9" ht="16.350000000000001" customHeight="1">
      <c r="A36" s="35"/>
      <c r="B36" s="36"/>
      <c r="C36" s="493"/>
      <c r="D36" s="203" t="s">
        <v>875</v>
      </c>
      <c r="E36" s="208"/>
      <c r="F36" s="275">
        <v>12</v>
      </c>
      <c r="G36" s="35" t="s">
        <v>123</v>
      </c>
      <c r="H36" s="35"/>
      <c r="I36" s="35"/>
    </row>
    <row r="37" spans="1:9" ht="16.350000000000001" customHeight="1">
      <c r="A37" s="35"/>
      <c r="B37" s="36"/>
      <c r="C37" s="493"/>
      <c r="D37" s="205" t="s">
        <v>876</v>
      </c>
      <c r="E37" s="208"/>
      <c r="F37" s="276">
        <v>16</v>
      </c>
      <c r="G37" s="35" t="s">
        <v>123</v>
      </c>
      <c r="H37" s="35"/>
      <c r="I37" s="35"/>
    </row>
    <row r="38" spans="1:9" ht="16.350000000000001" customHeight="1">
      <c r="A38" s="35"/>
      <c r="B38" s="36"/>
      <c r="C38" s="493"/>
      <c r="D38" s="205" t="s">
        <v>877</v>
      </c>
      <c r="E38" s="208"/>
      <c r="F38" s="275">
        <v>18</v>
      </c>
      <c r="G38" s="35" t="s">
        <v>123</v>
      </c>
      <c r="H38" s="35"/>
      <c r="I38" s="35"/>
    </row>
    <row r="39" spans="1:9" ht="16.350000000000001" customHeight="1">
      <c r="A39" s="35"/>
      <c r="B39" s="36"/>
      <c r="C39" s="494"/>
      <c r="D39" s="204" t="s">
        <v>878</v>
      </c>
      <c r="E39" s="201"/>
      <c r="F39" s="277">
        <v>12</v>
      </c>
      <c r="G39" s="35" t="s">
        <v>123</v>
      </c>
      <c r="H39" s="35"/>
      <c r="I39" s="35"/>
    </row>
    <row r="40" spans="1:9" ht="16.350000000000001" customHeight="1">
      <c r="A40" s="35"/>
      <c r="B40" s="488"/>
      <c r="C40" s="488"/>
      <c r="D40" s="488"/>
      <c r="E40" s="37"/>
      <c r="F40" s="43"/>
      <c r="G40" s="35"/>
      <c r="H40" s="35"/>
      <c r="I40" s="35"/>
    </row>
    <row r="41" spans="1:9" ht="16.350000000000001" customHeight="1">
      <c r="A41" s="35"/>
      <c r="B41" s="488"/>
      <c r="C41" s="488"/>
      <c r="D41" s="488"/>
      <c r="E41" s="488"/>
      <c r="F41" s="488"/>
      <c r="G41" s="488"/>
      <c r="H41" s="488"/>
      <c r="I41" s="35"/>
    </row>
    <row r="42" spans="1:9" ht="16.350000000000001" customHeight="1">
      <c r="A42" s="34" t="s">
        <v>30</v>
      </c>
    </row>
    <row r="43" spans="1:9" ht="16.350000000000001" customHeight="1">
      <c r="A43" s="35"/>
      <c r="B43" s="36" t="s">
        <v>204</v>
      </c>
      <c r="C43" s="495" t="s">
        <v>31</v>
      </c>
      <c r="D43" s="495"/>
      <c r="E43" s="37"/>
      <c r="F43" s="272">
        <v>4</v>
      </c>
      <c r="G43" s="35" t="s">
        <v>33</v>
      </c>
      <c r="H43" s="35" t="s">
        <v>35</v>
      </c>
      <c r="I43" s="35"/>
    </row>
    <row r="44" spans="1:9" ht="16.350000000000001" customHeight="1">
      <c r="A44" s="35"/>
      <c r="B44" s="36" t="s">
        <v>2</v>
      </c>
      <c r="C44" s="495" t="s">
        <v>39</v>
      </c>
      <c r="D44" s="495"/>
      <c r="E44" s="37"/>
      <c r="F44" s="272">
        <v>1054</v>
      </c>
      <c r="G44" s="35" t="s">
        <v>202</v>
      </c>
      <c r="H44" s="35" t="s">
        <v>35</v>
      </c>
      <c r="I44" s="35"/>
    </row>
    <row r="45" spans="1:9" ht="16.350000000000001" customHeight="1">
      <c r="A45" s="35"/>
      <c r="B45" s="36" t="s">
        <v>3</v>
      </c>
      <c r="C45" s="495" t="s">
        <v>40</v>
      </c>
      <c r="D45" s="495"/>
      <c r="E45" s="37"/>
      <c r="F45" s="272">
        <v>761</v>
      </c>
      <c r="G45" s="35" t="s">
        <v>202</v>
      </c>
      <c r="H45" s="35" t="s">
        <v>35</v>
      </c>
      <c r="I45" s="35"/>
    </row>
    <row r="46" spans="1:9" ht="16.350000000000001" customHeight="1">
      <c r="A46" s="35"/>
      <c r="B46" s="36" t="s">
        <v>4</v>
      </c>
      <c r="C46" s="495" t="s">
        <v>41</v>
      </c>
      <c r="D46" s="495"/>
      <c r="E46" s="37"/>
      <c r="F46" s="272">
        <v>824</v>
      </c>
      <c r="G46" s="35" t="s">
        <v>202</v>
      </c>
      <c r="H46" s="35" t="s">
        <v>35</v>
      </c>
      <c r="I46" s="35"/>
    </row>
    <row r="47" spans="1:9" ht="16.350000000000001" customHeight="1">
      <c r="A47" s="35"/>
      <c r="B47" s="36" t="s">
        <v>12</v>
      </c>
      <c r="C47" s="495" t="s">
        <v>42</v>
      </c>
      <c r="D47" s="495"/>
      <c r="E47" s="37"/>
      <c r="F47" s="272">
        <v>848</v>
      </c>
      <c r="G47" s="35" t="s">
        <v>202</v>
      </c>
      <c r="H47" s="35" t="s">
        <v>35</v>
      </c>
      <c r="I47" s="35"/>
    </row>
    <row r="48" spans="1:9" ht="16.350000000000001" customHeight="1">
      <c r="A48" s="35"/>
      <c r="B48" s="36" t="s">
        <v>24</v>
      </c>
      <c r="C48" s="495" t="s">
        <v>43</v>
      </c>
      <c r="D48" s="495"/>
      <c r="E48" s="37"/>
      <c r="F48" s="272">
        <v>910</v>
      </c>
      <c r="G48" s="35" t="s">
        <v>202</v>
      </c>
      <c r="H48" s="35" t="s">
        <v>35</v>
      </c>
      <c r="I48" s="35"/>
    </row>
    <row r="49" spans="1:9" ht="16.350000000000001" customHeight="1">
      <c r="A49" s="35"/>
      <c r="B49" s="36" t="s">
        <v>34</v>
      </c>
      <c r="C49" s="495" t="s">
        <v>44</v>
      </c>
      <c r="D49" s="495"/>
      <c r="E49" s="37"/>
      <c r="F49" s="272">
        <v>617</v>
      </c>
      <c r="G49" s="35" t="s">
        <v>202</v>
      </c>
      <c r="H49" s="35" t="s">
        <v>35</v>
      </c>
      <c r="I49" s="35"/>
    </row>
    <row r="50" spans="1:9" ht="16.350000000000001" customHeight="1">
      <c r="A50" s="35"/>
      <c r="B50" s="36" t="s">
        <v>24</v>
      </c>
      <c r="C50" s="495" t="s">
        <v>36</v>
      </c>
      <c r="D50" s="495"/>
      <c r="E50" s="37"/>
      <c r="F50" s="272">
        <v>3600</v>
      </c>
      <c r="G50" s="35" t="s">
        <v>22</v>
      </c>
      <c r="H50" s="35" t="s">
        <v>35</v>
      </c>
      <c r="I50" s="35"/>
    </row>
    <row r="51" spans="1:9" ht="16.350000000000001" customHeight="1">
      <c r="A51" s="35"/>
      <c r="B51" s="488"/>
      <c r="C51" s="488"/>
      <c r="D51" s="488"/>
      <c r="E51" s="37"/>
      <c r="F51" s="43"/>
      <c r="G51" s="35"/>
      <c r="H51" s="35"/>
      <c r="I51" s="35"/>
    </row>
  </sheetData>
  <mergeCells count="33">
    <mergeCell ref="C49:D49"/>
    <mergeCell ref="C21:D21"/>
    <mergeCell ref="C22:D22"/>
    <mergeCell ref="C46:D46"/>
    <mergeCell ref="A1:F1"/>
    <mergeCell ref="C23:D23"/>
    <mergeCell ref="C47:D47"/>
    <mergeCell ref="C13:D13"/>
    <mergeCell ref="C14:D14"/>
    <mergeCell ref="C15:D15"/>
    <mergeCell ref="C19:D19"/>
    <mergeCell ref="C20:D20"/>
    <mergeCell ref="C5:D5"/>
    <mergeCell ref="C6:D6"/>
    <mergeCell ref="C7:D7"/>
    <mergeCell ref="C11:D11"/>
    <mergeCell ref="C12:D12"/>
    <mergeCell ref="B51:D51"/>
    <mergeCell ref="B24:D24"/>
    <mergeCell ref="B40:D40"/>
    <mergeCell ref="B41:H41"/>
    <mergeCell ref="C32:C34"/>
    <mergeCell ref="C35:C39"/>
    <mergeCell ref="C27:D27"/>
    <mergeCell ref="C28:D28"/>
    <mergeCell ref="C29:D29"/>
    <mergeCell ref="C30:D30"/>
    <mergeCell ref="C31:D31"/>
    <mergeCell ref="C43:D43"/>
    <mergeCell ref="C44:D44"/>
    <mergeCell ref="C45:D45"/>
    <mergeCell ref="C50:D50"/>
    <mergeCell ref="C48:D48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colBreaks count="1" manualBreakCount="1">
    <brk id="12" min="3" max="64" man="1"/>
  </colBreaks>
  <ignoredErrors>
    <ignoredError sqref="B5:B7 B11:B16 D24:D26 B19:B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3"/>
  <sheetViews>
    <sheetView zoomScale="90" zoomScaleNormal="90" workbookViewId="0">
      <selection activeCell="X1" sqref="X1"/>
    </sheetView>
  </sheetViews>
  <sheetFormatPr defaultColWidth="8.875" defaultRowHeight="15" customHeight="1"/>
  <cols>
    <col min="1" max="1" width="10.25" style="48" customWidth="1"/>
    <col min="2" max="3" width="7.5" style="48" customWidth="1"/>
    <col min="4" max="4" width="8.375" style="58" customWidth="1"/>
    <col min="5" max="5" width="6.625" style="59" customWidth="1"/>
    <col min="6" max="6" width="6" style="48" bestFit="1" customWidth="1"/>
    <col min="7" max="7" width="5.875" style="59" bestFit="1" customWidth="1"/>
    <col min="8" max="8" width="8.375" style="60" customWidth="1"/>
    <col min="9" max="9" width="6.5" style="61" customWidth="1"/>
    <col min="10" max="10" width="6.5" style="48" customWidth="1"/>
    <col min="11" max="11" width="6.5" style="59" customWidth="1"/>
    <col min="12" max="12" width="2.5" style="48" customWidth="1"/>
    <col min="13" max="13" width="10.25" style="48" customWidth="1"/>
    <col min="14" max="14" width="7.375" style="48" customWidth="1"/>
    <col min="15" max="15" width="7.5" style="48" customWidth="1"/>
    <col min="16" max="16" width="8.375" style="48" customWidth="1"/>
    <col min="17" max="19" width="6" style="48" customWidth="1"/>
    <col min="20" max="20" width="8.375" style="48" customWidth="1"/>
    <col min="21" max="23" width="6.5" style="48" customWidth="1"/>
    <col min="24" max="16384" width="8.875" style="48"/>
  </cols>
  <sheetData>
    <row r="1" spans="1:23" ht="17.25" customHeight="1">
      <c r="A1" s="498" t="s">
        <v>883</v>
      </c>
      <c r="B1" s="498"/>
      <c r="C1" s="498"/>
      <c r="D1" s="498"/>
      <c r="E1" s="498"/>
      <c r="F1" s="498"/>
      <c r="G1" s="498"/>
      <c r="H1" s="498"/>
      <c r="I1" s="498"/>
      <c r="J1" s="498"/>
      <c r="V1" s="500"/>
      <c r="W1" s="500"/>
    </row>
    <row r="3" spans="1:23" s="49" customFormat="1" ht="15" customHeight="1">
      <c r="A3" s="48"/>
      <c r="B3" s="48"/>
      <c r="C3" s="48"/>
      <c r="D3" s="533" t="s">
        <v>69</v>
      </c>
      <c r="E3" s="534"/>
      <c r="F3" s="534"/>
      <c r="G3" s="535"/>
      <c r="H3" s="533" t="s">
        <v>38</v>
      </c>
      <c r="I3" s="534"/>
      <c r="J3" s="534"/>
      <c r="K3" s="535"/>
      <c r="M3" s="48"/>
      <c r="N3" s="48"/>
      <c r="O3" s="48"/>
      <c r="P3" s="533" t="s">
        <v>69</v>
      </c>
      <c r="Q3" s="534"/>
      <c r="R3" s="534"/>
      <c r="S3" s="535"/>
      <c r="T3" s="533" t="s">
        <v>38</v>
      </c>
      <c r="U3" s="534"/>
      <c r="V3" s="534"/>
      <c r="W3" s="535"/>
    </row>
    <row r="4" spans="1:23" s="49" customFormat="1" ht="15" customHeight="1">
      <c r="A4" s="506" t="s">
        <v>521</v>
      </c>
      <c r="B4" s="538" t="s">
        <v>522</v>
      </c>
      <c r="C4" s="230" t="s">
        <v>67</v>
      </c>
      <c r="D4" s="50" t="s">
        <v>37</v>
      </c>
      <c r="E4" s="517" t="s">
        <v>13</v>
      </c>
      <c r="F4" s="536"/>
      <c r="G4" s="537"/>
      <c r="H4" s="230" t="s">
        <v>37</v>
      </c>
      <c r="I4" s="517" t="s">
        <v>13</v>
      </c>
      <c r="J4" s="536"/>
      <c r="K4" s="537"/>
      <c r="M4" s="506" t="s">
        <v>521</v>
      </c>
      <c r="N4" s="538" t="s">
        <v>522</v>
      </c>
      <c r="O4" s="230" t="s">
        <v>67</v>
      </c>
      <c r="P4" s="50" t="s">
        <v>37</v>
      </c>
      <c r="Q4" s="517" t="s">
        <v>13</v>
      </c>
      <c r="R4" s="536"/>
      <c r="S4" s="537"/>
      <c r="T4" s="230" t="s">
        <v>37</v>
      </c>
      <c r="U4" s="517" t="s">
        <v>13</v>
      </c>
      <c r="V4" s="536"/>
      <c r="W4" s="537"/>
    </row>
    <row r="5" spans="1:23" s="49" customFormat="1" ht="27" customHeight="1">
      <c r="A5" s="507"/>
      <c r="B5" s="539"/>
      <c r="C5" s="232" t="s">
        <v>523</v>
      </c>
      <c r="D5" s="51" t="s">
        <v>524</v>
      </c>
      <c r="E5" s="519" t="s">
        <v>525</v>
      </c>
      <c r="F5" s="531"/>
      <c r="G5" s="532"/>
      <c r="H5" s="232" t="s">
        <v>526</v>
      </c>
      <c r="I5" s="519" t="s">
        <v>527</v>
      </c>
      <c r="J5" s="531"/>
      <c r="K5" s="532"/>
      <c r="M5" s="507"/>
      <c r="N5" s="539"/>
      <c r="O5" s="232" t="s">
        <v>523</v>
      </c>
      <c r="P5" s="51" t="s">
        <v>528</v>
      </c>
      <c r="Q5" s="519" t="s">
        <v>530</v>
      </c>
      <c r="R5" s="531"/>
      <c r="S5" s="532"/>
      <c r="T5" s="232" t="s">
        <v>526</v>
      </c>
      <c r="U5" s="519" t="s">
        <v>529</v>
      </c>
      <c r="V5" s="531"/>
      <c r="W5" s="532"/>
    </row>
    <row r="6" spans="1:23" ht="15" customHeight="1">
      <c r="A6" s="517" t="s">
        <v>887</v>
      </c>
      <c r="B6" s="503" t="s">
        <v>480</v>
      </c>
      <c r="C6" s="514">
        <f>'ｼｰﾄNO.3（表-3）59頁'!$F$44</f>
        <v>1054</v>
      </c>
      <c r="D6" s="520">
        <v>129</v>
      </c>
      <c r="E6" s="522">
        <v>816</v>
      </c>
      <c r="F6" s="52" t="s">
        <v>65</v>
      </c>
      <c r="G6" s="278">
        <f>E6*(1-'ｼｰﾄNO.3（表-3）59頁'!$F$13/100)</f>
        <v>775.19999999999993</v>
      </c>
      <c r="H6" s="530">
        <v>128</v>
      </c>
      <c r="I6" s="522">
        <v>813</v>
      </c>
      <c r="J6" s="52" t="s">
        <v>65</v>
      </c>
      <c r="K6" s="278">
        <f>I6*(1-'ｼｰﾄNO.3（表-3）59頁'!$F$13/100)</f>
        <v>772.34999999999991</v>
      </c>
      <c r="M6" s="517" t="s">
        <v>886</v>
      </c>
      <c r="N6" s="503" t="s">
        <v>480</v>
      </c>
      <c r="O6" s="514">
        <f>'ｼｰﾄNO.3（表-3）59頁'!$F$44</f>
        <v>1054</v>
      </c>
      <c r="P6" s="520">
        <v>128</v>
      </c>
      <c r="Q6" s="522">
        <v>813</v>
      </c>
      <c r="R6" s="52" t="s">
        <v>65</v>
      </c>
      <c r="S6" s="278">
        <f>Q6*(1-'ｼｰﾄNO.3（表-3）59頁'!$F$13/100)</f>
        <v>772.34999999999991</v>
      </c>
      <c r="T6" s="530">
        <v>128</v>
      </c>
      <c r="U6" s="522">
        <v>813</v>
      </c>
      <c r="V6" s="52" t="s">
        <v>65</v>
      </c>
      <c r="W6" s="278">
        <f>U6*(1-'ｼｰﾄNO.3（表-3）59頁'!$F$13/100)</f>
        <v>772.34999999999991</v>
      </c>
    </row>
    <row r="7" spans="1:23" ht="15" customHeight="1">
      <c r="A7" s="518"/>
      <c r="B7" s="504"/>
      <c r="C7" s="515"/>
      <c r="D7" s="521"/>
      <c r="E7" s="523"/>
      <c r="F7" s="53" t="s">
        <v>66</v>
      </c>
      <c r="G7" s="279">
        <f>E6*('ｼｰﾄNO.3（表-3）59頁'!$F$13/100)</f>
        <v>40.800000000000004</v>
      </c>
      <c r="H7" s="528"/>
      <c r="I7" s="523"/>
      <c r="J7" s="53" t="s">
        <v>66</v>
      </c>
      <c r="K7" s="279">
        <f>I6*('ｼｰﾄNO.3（表-3）59頁'!$F$13/100)</f>
        <v>40.650000000000006</v>
      </c>
      <c r="M7" s="518"/>
      <c r="N7" s="504"/>
      <c r="O7" s="515"/>
      <c r="P7" s="521"/>
      <c r="Q7" s="523"/>
      <c r="R7" s="53" t="s">
        <v>66</v>
      </c>
      <c r="S7" s="279">
        <f>Q6*('ｼｰﾄNO.3（表-3）59頁'!$F$13/100)</f>
        <v>40.650000000000006</v>
      </c>
      <c r="T7" s="528"/>
      <c r="U7" s="523"/>
      <c r="V7" s="53" t="s">
        <v>66</v>
      </c>
      <c r="W7" s="279">
        <f>U6*('ｼｰﾄNO.3（表-3）59頁'!$F$13/100)</f>
        <v>40.650000000000006</v>
      </c>
    </row>
    <row r="8" spans="1:23" ht="15" customHeight="1">
      <c r="A8" s="518"/>
      <c r="B8" s="501" t="s">
        <v>300</v>
      </c>
      <c r="C8" s="508">
        <f>'ｼｰﾄNO.3（表-3）59頁'!$F$45</f>
        <v>761</v>
      </c>
      <c r="D8" s="524">
        <v>97</v>
      </c>
      <c r="E8" s="510">
        <v>157</v>
      </c>
      <c r="F8" s="54" t="s">
        <v>65</v>
      </c>
      <c r="G8" s="280">
        <f>E8*(1-'ｼｰﾄNO.3（表-3）59頁'!$F$13/100)</f>
        <v>149.15</v>
      </c>
      <c r="H8" s="512">
        <v>98</v>
      </c>
      <c r="I8" s="510">
        <v>156</v>
      </c>
      <c r="J8" s="54" t="s">
        <v>65</v>
      </c>
      <c r="K8" s="280">
        <f>I8*(1-'ｼｰﾄNO.3（表-3）59頁'!$F$13/100)</f>
        <v>148.19999999999999</v>
      </c>
      <c r="M8" s="518"/>
      <c r="N8" s="501" t="s">
        <v>300</v>
      </c>
      <c r="O8" s="508">
        <f>'ｼｰﾄNO.3（表-3）59頁'!$F$45</f>
        <v>761</v>
      </c>
      <c r="P8" s="524">
        <v>98</v>
      </c>
      <c r="Q8" s="510">
        <v>156</v>
      </c>
      <c r="R8" s="54" t="s">
        <v>65</v>
      </c>
      <c r="S8" s="280">
        <f>Q8*(1-'ｼｰﾄNO.3（表-3）59頁'!$F$13/100)</f>
        <v>148.19999999999999</v>
      </c>
      <c r="T8" s="512">
        <v>98</v>
      </c>
      <c r="U8" s="510">
        <v>156</v>
      </c>
      <c r="V8" s="54" t="s">
        <v>65</v>
      </c>
      <c r="W8" s="280">
        <f>U8*(1-'ｼｰﾄNO.3（表-3）59頁'!$F$13/100)</f>
        <v>148.19999999999999</v>
      </c>
    </row>
    <row r="9" spans="1:23" ht="15" customHeight="1">
      <c r="A9" s="518"/>
      <c r="B9" s="502"/>
      <c r="C9" s="509"/>
      <c r="D9" s="525"/>
      <c r="E9" s="511"/>
      <c r="F9" s="54" t="s">
        <v>66</v>
      </c>
      <c r="G9" s="280">
        <f>E8*('ｼｰﾄNO.3（表-3）59頁'!$F$13/100)</f>
        <v>7.8500000000000005</v>
      </c>
      <c r="H9" s="513"/>
      <c r="I9" s="511"/>
      <c r="J9" s="54" t="s">
        <v>66</v>
      </c>
      <c r="K9" s="280">
        <f>I8*('ｼｰﾄNO.3（表-3）59頁'!$F$13/100)</f>
        <v>7.8000000000000007</v>
      </c>
      <c r="M9" s="518"/>
      <c r="N9" s="502"/>
      <c r="O9" s="509"/>
      <c r="P9" s="525"/>
      <c r="Q9" s="511"/>
      <c r="R9" s="54" t="s">
        <v>66</v>
      </c>
      <c r="S9" s="280">
        <f>Q8*('ｼｰﾄNO.3（表-3）59頁'!$F$13/100)</f>
        <v>7.8000000000000007</v>
      </c>
      <c r="T9" s="513"/>
      <c r="U9" s="511"/>
      <c r="V9" s="54" t="s">
        <v>66</v>
      </c>
      <c r="W9" s="280">
        <f>U8*('ｼｰﾄNO.3（表-3）59頁'!$F$13/100)</f>
        <v>7.8000000000000007</v>
      </c>
    </row>
    <row r="10" spans="1:23" ht="15" customHeight="1">
      <c r="A10" s="518"/>
      <c r="B10" s="504" t="s">
        <v>481</v>
      </c>
      <c r="C10" s="515">
        <f>'ｼｰﾄNO.3（表-3）59頁'!$F$46</f>
        <v>824</v>
      </c>
      <c r="D10" s="521">
        <v>124</v>
      </c>
      <c r="E10" s="523">
        <v>40</v>
      </c>
      <c r="F10" s="55" t="s">
        <v>65</v>
      </c>
      <c r="G10" s="281">
        <f>E10*(1-'ｼｰﾄNO.3（表-3）59頁'!$F$13/100)</f>
        <v>38</v>
      </c>
      <c r="H10" s="528">
        <v>119</v>
      </c>
      <c r="I10" s="523">
        <v>44</v>
      </c>
      <c r="J10" s="55" t="s">
        <v>65</v>
      </c>
      <c r="K10" s="281">
        <f>I10*(1-'ｼｰﾄNO.3（表-3）59頁'!$F$13/100)</f>
        <v>41.8</v>
      </c>
      <c r="M10" s="518"/>
      <c r="N10" s="504" t="s">
        <v>481</v>
      </c>
      <c r="O10" s="515">
        <f>'ｼｰﾄNO.3（表-3）59頁'!$F$46</f>
        <v>824</v>
      </c>
      <c r="P10" s="521">
        <v>107</v>
      </c>
      <c r="Q10" s="523">
        <v>44</v>
      </c>
      <c r="R10" s="55" t="s">
        <v>65</v>
      </c>
      <c r="S10" s="281">
        <f>Q10*(1-'ｼｰﾄNO.3（表-3）59頁'!$F$13/100)</f>
        <v>41.8</v>
      </c>
      <c r="T10" s="528">
        <v>119</v>
      </c>
      <c r="U10" s="523">
        <v>44</v>
      </c>
      <c r="V10" s="55" t="s">
        <v>65</v>
      </c>
      <c r="W10" s="281">
        <f>U10*(1-'ｼｰﾄNO.3（表-3）59頁'!$F$13/100)</f>
        <v>41.8</v>
      </c>
    </row>
    <row r="11" spans="1:23" ht="15" customHeight="1">
      <c r="A11" s="518"/>
      <c r="B11" s="505"/>
      <c r="C11" s="516"/>
      <c r="D11" s="527"/>
      <c r="E11" s="526"/>
      <c r="F11" s="56" t="s">
        <v>66</v>
      </c>
      <c r="G11" s="282">
        <f>E10*('ｼｰﾄNO.3（表-3）59頁'!$F$13/100)</f>
        <v>2</v>
      </c>
      <c r="H11" s="529"/>
      <c r="I11" s="526"/>
      <c r="J11" s="56" t="s">
        <v>66</v>
      </c>
      <c r="K11" s="282">
        <f>I10*('ｼｰﾄNO.3（表-3）59頁'!$F$13/100)</f>
        <v>2.2000000000000002</v>
      </c>
      <c r="M11" s="518"/>
      <c r="N11" s="505"/>
      <c r="O11" s="516"/>
      <c r="P11" s="527"/>
      <c r="Q11" s="526"/>
      <c r="R11" s="56" t="s">
        <v>66</v>
      </c>
      <c r="S11" s="282">
        <f>Q10*('ｼｰﾄNO.3（表-3）59頁'!$F$13/100)</f>
        <v>2.2000000000000002</v>
      </c>
      <c r="T11" s="529"/>
      <c r="U11" s="526"/>
      <c r="V11" s="56" t="s">
        <v>66</v>
      </c>
      <c r="W11" s="282">
        <f>U10*('ｼｰﾄNO.3（表-3）59頁'!$F$13/100)</f>
        <v>2.2000000000000002</v>
      </c>
    </row>
    <row r="12" spans="1:23" ht="15" customHeight="1">
      <c r="A12" s="518"/>
      <c r="B12" s="503" t="s">
        <v>482</v>
      </c>
      <c r="C12" s="514">
        <f>'ｼｰﾄNO.3（表-3）59頁'!$F$44</f>
        <v>1054</v>
      </c>
      <c r="D12" s="520">
        <v>131</v>
      </c>
      <c r="E12" s="522">
        <v>795</v>
      </c>
      <c r="F12" s="52" t="s">
        <v>65</v>
      </c>
      <c r="G12" s="278">
        <f>E12*(1-'ｼｰﾄNO.3（表-3）59頁'!$F$13/100)</f>
        <v>755.25</v>
      </c>
      <c r="H12" s="530">
        <v>124</v>
      </c>
      <c r="I12" s="522">
        <v>793</v>
      </c>
      <c r="J12" s="52" t="s">
        <v>65</v>
      </c>
      <c r="K12" s="278">
        <f>I12*(1-'ｼｰﾄNO.3（表-3）59頁'!$F$13/100)</f>
        <v>753.34999999999991</v>
      </c>
      <c r="M12" s="518"/>
      <c r="N12" s="503" t="s">
        <v>482</v>
      </c>
      <c r="O12" s="514">
        <f>'ｼｰﾄNO.3（表-3）59頁'!$F$44</f>
        <v>1054</v>
      </c>
      <c r="P12" s="520">
        <v>336</v>
      </c>
      <c r="Q12" s="522">
        <v>793</v>
      </c>
      <c r="R12" s="52" t="s">
        <v>65</v>
      </c>
      <c r="S12" s="278">
        <f>Q12*(1-'ｼｰﾄNO.3（表-3）59頁'!$F$13/100)</f>
        <v>753.34999999999991</v>
      </c>
      <c r="T12" s="530">
        <v>124</v>
      </c>
      <c r="U12" s="522">
        <v>793</v>
      </c>
      <c r="V12" s="52" t="s">
        <v>65</v>
      </c>
      <c r="W12" s="278">
        <f>U12*(1-'ｼｰﾄNO.3（表-3）59頁'!$F$13/100)</f>
        <v>753.34999999999991</v>
      </c>
    </row>
    <row r="13" spans="1:23" ht="15" customHeight="1">
      <c r="A13" s="518"/>
      <c r="B13" s="504"/>
      <c r="C13" s="515"/>
      <c r="D13" s="521"/>
      <c r="E13" s="523"/>
      <c r="F13" s="53" t="s">
        <v>66</v>
      </c>
      <c r="G13" s="279">
        <f>E12*('ｼｰﾄNO.3（表-3）59頁'!$F$13/100)</f>
        <v>39.75</v>
      </c>
      <c r="H13" s="528"/>
      <c r="I13" s="523"/>
      <c r="J13" s="53" t="s">
        <v>66</v>
      </c>
      <c r="K13" s="279">
        <f>I12*('ｼｰﾄNO.3（表-3）59頁'!$F$13/100)</f>
        <v>39.650000000000006</v>
      </c>
      <c r="M13" s="518"/>
      <c r="N13" s="504"/>
      <c r="O13" s="515"/>
      <c r="P13" s="521"/>
      <c r="Q13" s="523"/>
      <c r="R13" s="53" t="s">
        <v>66</v>
      </c>
      <c r="S13" s="279">
        <f>Q12*('ｼｰﾄNO.3（表-3）59頁'!$F$13/100)</f>
        <v>39.650000000000006</v>
      </c>
      <c r="T13" s="528"/>
      <c r="U13" s="523"/>
      <c r="V13" s="53" t="s">
        <v>66</v>
      </c>
      <c r="W13" s="279">
        <f>U12*('ｼｰﾄNO.3（表-3）59頁'!$F$13/100)</f>
        <v>39.650000000000006</v>
      </c>
    </row>
    <row r="14" spans="1:23" ht="15" customHeight="1">
      <c r="A14" s="518"/>
      <c r="B14" s="501" t="s">
        <v>307</v>
      </c>
      <c r="C14" s="508">
        <f>'ｼｰﾄNO.3（表-3）59頁'!$F$47</f>
        <v>848</v>
      </c>
      <c r="D14" s="524">
        <v>128</v>
      </c>
      <c r="E14" s="510">
        <v>40</v>
      </c>
      <c r="F14" s="54" t="s">
        <v>65</v>
      </c>
      <c r="G14" s="280">
        <f>E14*(1-'ｼｰﾄNO.3（表-3）59頁'!$F$13/100)</f>
        <v>38</v>
      </c>
      <c r="H14" s="512">
        <v>135</v>
      </c>
      <c r="I14" s="510">
        <v>42</v>
      </c>
      <c r="J14" s="54" t="s">
        <v>65</v>
      </c>
      <c r="K14" s="280">
        <f>I14*(1-'ｼｰﾄNO.3（表-3）59頁'!$F$13/100)</f>
        <v>39.9</v>
      </c>
      <c r="M14" s="518"/>
      <c r="N14" s="501" t="s">
        <v>307</v>
      </c>
      <c r="O14" s="508">
        <f>'ｼｰﾄNO.3（表-3）59頁'!$F$47</f>
        <v>848</v>
      </c>
      <c r="P14" s="524">
        <v>295</v>
      </c>
      <c r="Q14" s="510">
        <v>42</v>
      </c>
      <c r="R14" s="54" t="s">
        <v>65</v>
      </c>
      <c r="S14" s="280">
        <f>Q14*(1-'ｼｰﾄNO.3（表-3）59頁'!$F$13/100)</f>
        <v>39.9</v>
      </c>
      <c r="T14" s="512">
        <v>135</v>
      </c>
      <c r="U14" s="510">
        <v>42</v>
      </c>
      <c r="V14" s="54" t="s">
        <v>65</v>
      </c>
      <c r="W14" s="280">
        <f>U14*(1-'ｼｰﾄNO.3（表-3）59頁'!$F$13/100)</f>
        <v>39.9</v>
      </c>
    </row>
    <row r="15" spans="1:23" ht="15" customHeight="1">
      <c r="A15" s="518"/>
      <c r="B15" s="502"/>
      <c r="C15" s="509"/>
      <c r="D15" s="525"/>
      <c r="E15" s="511"/>
      <c r="F15" s="54" t="s">
        <v>66</v>
      </c>
      <c r="G15" s="280">
        <f>E14*('ｼｰﾄNO.3（表-3）59頁'!$F$13/100)</f>
        <v>2</v>
      </c>
      <c r="H15" s="513"/>
      <c r="I15" s="511"/>
      <c r="J15" s="54" t="s">
        <v>66</v>
      </c>
      <c r="K15" s="280">
        <f>I14*('ｼｰﾄNO.3（表-3）59頁'!$F$13/100)</f>
        <v>2.1</v>
      </c>
      <c r="M15" s="518"/>
      <c r="N15" s="502"/>
      <c r="O15" s="509"/>
      <c r="P15" s="525"/>
      <c r="Q15" s="511"/>
      <c r="R15" s="54" t="s">
        <v>66</v>
      </c>
      <c r="S15" s="280">
        <f>Q14*('ｼｰﾄNO.3（表-3）59頁'!$F$13/100)</f>
        <v>2.1</v>
      </c>
      <c r="T15" s="513"/>
      <c r="U15" s="511"/>
      <c r="V15" s="54" t="s">
        <v>66</v>
      </c>
      <c r="W15" s="280">
        <f>U14*('ｼｰﾄNO.3（表-3）59頁'!$F$13/100)</f>
        <v>2.1</v>
      </c>
    </row>
    <row r="16" spans="1:23" ht="15" customHeight="1">
      <c r="A16" s="518"/>
      <c r="B16" s="504" t="s">
        <v>308</v>
      </c>
      <c r="C16" s="515">
        <f>'ｼｰﾄNO.3（表-3）59頁'!$F$48</f>
        <v>910</v>
      </c>
      <c r="D16" s="521">
        <v>113</v>
      </c>
      <c r="E16" s="523">
        <v>153</v>
      </c>
      <c r="F16" s="55" t="s">
        <v>65</v>
      </c>
      <c r="G16" s="281">
        <f>E16*(1-'ｼｰﾄNO.3（表-3）59頁'!$F$13/100)</f>
        <v>145.35</v>
      </c>
      <c r="H16" s="528">
        <v>109</v>
      </c>
      <c r="I16" s="523">
        <v>155</v>
      </c>
      <c r="J16" s="55" t="s">
        <v>65</v>
      </c>
      <c r="K16" s="281">
        <f>I16*(1-'ｼｰﾄNO.3（表-3）59頁'!$F$13/100)</f>
        <v>147.25</v>
      </c>
      <c r="M16" s="518"/>
      <c r="N16" s="504" t="s">
        <v>308</v>
      </c>
      <c r="O16" s="515">
        <f>'ｼｰﾄNO.3（表-3）59頁'!$F$48</f>
        <v>910</v>
      </c>
      <c r="P16" s="521">
        <v>309</v>
      </c>
      <c r="Q16" s="523">
        <v>155</v>
      </c>
      <c r="R16" s="55" t="s">
        <v>65</v>
      </c>
      <c r="S16" s="281">
        <f>Q16*(1-'ｼｰﾄNO.3（表-3）59頁'!$F$13/100)</f>
        <v>147.25</v>
      </c>
      <c r="T16" s="528">
        <v>109</v>
      </c>
      <c r="U16" s="523">
        <v>155</v>
      </c>
      <c r="V16" s="55" t="s">
        <v>65</v>
      </c>
      <c r="W16" s="281">
        <f>U16*(1-'ｼｰﾄNO.3（表-3）59頁'!$F$13/100)</f>
        <v>147.25</v>
      </c>
    </row>
    <row r="17" spans="1:23" ht="15" customHeight="1">
      <c r="A17" s="518"/>
      <c r="B17" s="505"/>
      <c r="C17" s="516"/>
      <c r="D17" s="527"/>
      <c r="E17" s="526"/>
      <c r="F17" s="56" t="s">
        <v>66</v>
      </c>
      <c r="G17" s="282">
        <f>E16*('ｼｰﾄNO.3（表-3）59頁'!$F$13/100)</f>
        <v>7.65</v>
      </c>
      <c r="H17" s="529"/>
      <c r="I17" s="526"/>
      <c r="J17" s="56" t="s">
        <v>66</v>
      </c>
      <c r="K17" s="282">
        <f>I16*('ｼｰﾄNO.3（表-3）59頁'!$F$13/100)</f>
        <v>7.75</v>
      </c>
      <c r="M17" s="518"/>
      <c r="N17" s="505"/>
      <c r="O17" s="516"/>
      <c r="P17" s="527"/>
      <c r="Q17" s="526"/>
      <c r="R17" s="56" t="s">
        <v>66</v>
      </c>
      <c r="S17" s="282">
        <f>Q16*('ｼｰﾄNO.3（表-3）59頁'!$F$13/100)</f>
        <v>7.75</v>
      </c>
      <c r="T17" s="529"/>
      <c r="U17" s="526"/>
      <c r="V17" s="56" t="s">
        <v>66</v>
      </c>
      <c r="W17" s="282">
        <f>U16*('ｼｰﾄNO.3（表-3）59頁'!$F$13/100)</f>
        <v>7.75</v>
      </c>
    </row>
    <row r="18" spans="1:23" ht="15" customHeight="1">
      <c r="A18" s="518"/>
      <c r="B18" s="503" t="s">
        <v>483</v>
      </c>
      <c r="C18" s="514">
        <f>'ｼｰﾄNO.3（表-3）59頁'!$F$45</f>
        <v>761</v>
      </c>
      <c r="D18" s="520">
        <v>116</v>
      </c>
      <c r="E18" s="522">
        <v>47</v>
      </c>
      <c r="F18" s="52" t="s">
        <v>65</v>
      </c>
      <c r="G18" s="278">
        <f>E18*(1-'ｼｰﾄNO.3（表-3）59頁'!$F$13/100)</f>
        <v>44.65</v>
      </c>
      <c r="H18" s="530">
        <v>121</v>
      </c>
      <c r="I18" s="522">
        <v>57</v>
      </c>
      <c r="J18" s="52" t="s">
        <v>65</v>
      </c>
      <c r="K18" s="278">
        <f>I18*(1-'ｼｰﾄNO.3（表-3）59頁'!$F$13/100)</f>
        <v>54.15</v>
      </c>
      <c r="M18" s="518"/>
      <c r="N18" s="503" t="s">
        <v>483</v>
      </c>
      <c r="O18" s="514">
        <f>'ｼｰﾄNO.3（表-3）59頁'!$F$45</f>
        <v>761</v>
      </c>
      <c r="P18" s="520">
        <v>122</v>
      </c>
      <c r="Q18" s="522">
        <v>59</v>
      </c>
      <c r="R18" s="52" t="s">
        <v>65</v>
      </c>
      <c r="S18" s="278">
        <f>Q18*(1-'ｼｰﾄNO.3（表-3）59頁'!$F$13/100)</f>
        <v>56.05</v>
      </c>
      <c r="T18" s="530">
        <v>121</v>
      </c>
      <c r="U18" s="522">
        <v>57</v>
      </c>
      <c r="V18" s="52" t="s">
        <v>65</v>
      </c>
      <c r="W18" s="278">
        <f>U18*(1-'ｼｰﾄNO.3（表-3）59頁'!$F$13/100)</f>
        <v>54.15</v>
      </c>
    </row>
    <row r="19" spans="1:23" ht="15" customHeight="1">
      <c r="A19" s="518"/>
      <c r="B19" s="504"/>
      <c r="C19" s="515"/>
      <c r="D19" s="521"/>
      <c r="E19" s="523"/>
      <c r="F19" s="53" t="s">
        <v>66</v>
      </c>
      <c r="G19" s="279">
        <f>E18*('ｼｰﾄNO.3（表-3）59頁'!$F$13/100)</f>
        <v>2.35</v>
      </c>
      <c r="H19" s="528"/>
      <c r="I19" s="523"/>
      <c r="J19" s="53" t="s">
        <v>66</v>
      </c>
      <c r="K19" s="279">
        <f>I18*('ｼｰﾄNO.3（表-3）59頁'!$F$13/100)</f>
        <v>2.85</v>
      </c>
      <c r="M19" s="518"/>
      <c r="N19" s="504"/>
      <c r="O19" s="515"/>
      <c r="P19" s="521"/>
      <c r="Q19" s="523"/>
      <c r="R19" s="53" t="s">
        <v>66</v>
      </c>
      <c r="S19" s="279">
        <f>Q18*('ｼｰﾄNO.3（表-3）59頁'!$F$13/100)</f>
        <v>2.95</v>
      </c>
      <c r="T19" s="528"/>
      <c r="U19" s="523"/>
      <c r="V19" s="53" t="s">
        <v>66</v>
      </c>
      <c r="W19" s="279">
        <f>U18*('ｼｰﾄNO.3（表-3）59頁'!$F$13/100)</f>
        <v>2.85</v>
      </c>
    </row>
    <row r="20" spans="1:23" ht="15" customHeight="1">
      <c r="A20" s="518"/>
      <c r="B20" s="501" t="s">
        <v>484</v>
      </c>
      <c r="C20" s="508">
        <f>'ｼｰﾄNO.3（表-3）59頁'!$F$47</f>
        <v>848</v>
      </c>
      <c r="D20" s="524">
        <v>104</v>
      </c>
      <c r="E20" s="510">
        <v>168</v>
      </c>
      <c r="F20" s="54" t="s">
        <v>65</v>
      </c>
      <c r="G20" s="280">
        <f>E20*(1-'ｼｰﾄNO.3（表-3）59頁'!$F$13/100)</f>
        <v>159.6</v>
      </c>
      <c r="H20" s="512">
        <v>110</v>
      </c>
      <c r="I20" s="510">
        <v>167</v>
      </c>
      <c r="J20" s="54" t="s">
        <v>65</v>
      </c>
      <c r="K20" s="280">
        <f>I20*(1-'ｼｰﾄNO.3（表-3）59頁'!$F$13/100)</f>
        <v>158.65</v>
      </c>
      <c r="M20" s="518"/>
      <c r="N20" s="501" t="s">
        <v>484</v>
      </c>
      <c r="O20" s="508">
        <f>'ｼｰﾄNO.3（表-3）59頁'!$F$47</f>
        <v>848</v>
      </c>
      <c r="P20" s="524">
        <v>112</v>
      </c>
      <c r="Q20" s="510">
        <v>167</v>
      </c>
      <c r="R20" s="54" t="s">
        <v>65</v>
      </c>
      <c r="S20" s="280">
        <f>Q20*(1-'ｼｰﾄNO.3（表-3）59頁'!$F$13/100)</f>
        <v>158.65</v>
      </c>
      <c r="T20" s="512">
        <v>110</v>
      </c>
      <c r="U20" s="510">
        <v>167</v>
      </c>
      <c r="V20" s="54" t="s">
        <v>65</v>
      </c>
      <c r="W20" s="280">
        <f>U20*(1-'ｼｰﾄNO.3（表-3）59頁'!$F$13/100)</f>
        <v>158.65</v>
      </c>
    </row>
    <row r="21" spans="1:23" ht="15" customHeight="1">
      <c r="A21" s="518"/>
      <c r="B21" s="502"/>
      <c r="C21" s="509"/>
      <c r="D21" s="525"/>
      <c r="E21" s="511"/>
      <c r="F21" s="54" t="s">
        <v>66</v>
      </c>
      <c r="G21" s="280">
        <f>E20*('ｼｰﾄNO.3（表-3）59頁'!$F$13/100)</f>
        <v>8.4</v>
      </c>
      <c r="H21" s="513"/>
      <c r="I21" s="511"/>
      <c r="J21" s="54" t="s">
        <v>66</v>
      </c>
      <c r="K21" s="280">
        <f>I20*('ｼｰﾄNO.3（表-3）59頁'!$F$13/100)</f>
        <v>8.35</v>
      </c>
      <c r="M21" s="518"/>
      <c r="N21" s="502"/>
      <c r="O21" s="509"/>
      <c r="P21" s="525"/>
      <c r="Q21" s="511"/>
      <c r="R21" s="54" t="s">
        <v>66</v>
      </c>
      <c r="S21" s="280">
        <f>Q20*('ｼｰﾄNO.3（表-3）59頁'!$F$13/100)</f>
        <v>8.35</v>
      </c>
      <c r="T21" s="513"/>
      <c r="U21" s="511"/>
      <c r="V21" s="54" t="s">
        <v>66</v>
      </c>
      <c r="W21" s="280">
        <f>U20*('ｼｰﾄNO.3（表-3）59頁'!$F$13/100)</f>
        <v>8.35</v>
      </c>
    </row>
    <row r="22" spans="1:23" ht="15" customHeight="1">
      <c r="A22" s="518"/>
      <c r="B22" s="504" t="s">
        <v>301</v>
      </c>
      <c r="C22" s="515">
        <f>'ｼｰﾄNO.3（表-3）59頁'!$F$49</f>
        <v>617</v>
      </c>
      <c r="D22" s="521">
        <v>84</v>
      </c>
      <c r="E22" s="523">
        <v>786</v>
      </c>
      <c r="F22" s="55" t="s">
        <v>65</v>
      </c>
      <c r="G22" s="281">
        <f>E22*(1-'ｼｰﾄNO.3（表-3）59頁'!$F$13/100)</f>
        <v>746.69999999999993</v>
      </c>
      <c r="H22" s="528">
        <v>82</v>
      </c>
      <c r="I22" s="523">
        <v>777</v>
      </c>
      <c r="J22" s="55" t="s">
        <v>65</v>
      </c>
      <c r="K22" s="281">
        <f>I22*(1-'ｼｰﾄNO.3（表-3）59頁'!$F$13/100)</f>
        <v>738.15</v>
      </c>
      <c r="M22" s="518"/>
      <c r="N22" s="504" t="s">
        <v>301</v>
      </c>
      <c r="O22" s="515">
        <f>'ｼｰﾄNO.3（表-3）59頁'!$F$49</f>
        <v>617</v>
      </c>
      <c r="P22" s="521">
        <v>86</v>
      </c>
      <c r="Q22" s="523">
        <v>855</v>
      </c>
      <c r="R22" s="55" t="s">
        <v>65</v>
      </c>
      <c r="S22" s="281">
        <f>Q22*(1-'ｼｰﾄNO.3（表-3）59頁'!$F$13/100)</f>
        <v>812.25</v>
      </c>
      <c r="T22" s="528">
        <v>82</v>
      </c>
      <c r="U22" s="523">
        <v>777</v>
      </c>
      <c r="V22" s="55" t="s">
        <v>65</v>
      </c>
      <c r="W22" s="281">
        <f>U22*(1-'ｼｰﾄNO.3（表-3）59頁'!$F$13/100)</f>
        <v>738.15</v>
      </c>
    </row>
    <row r="23" spans="1:23" ht="15" customHeight="1">
      <c r="A23" s="518"/>
      <c r="B23" s="505"/>
      <c r="C23" s="516"/>
      <c r="D23" s="527"/>
      <c r="E23" s="526"/>
      <c r="F23" s="56" t="s">
        <v>66</v>
      </c>
      <c r="G23" s="282">
        <f>E22*('ｼｰﾄNO.3（表-3）59頁'!$F$13/100)</f>
        <v>39.300000000000004</v>
      </c>
      <c r="H23" s="529"/>
      <c r="I23" s="526"/>
      <c r="J23" s="56" t="s">
        <v>66</v>
      </c>
      <c r="K23" s="282">
        <f>I22*('ｼｰﾄNO.3（表-3）59頁'!$F$13/100)</f>
        <v>38.85</v>
      </c>
      <c r="M23" s="518"/>
      <c r="N23" s="505"/>
      <c r="O23" s="516"/>
      <c r="P23" s="527"/>
      <c r="Q23" s="526"/>
      <c r="R23" s="56" t="s">
        <v>66</v>
      </c>
      <c r="S23" s="282">
        <f>Q22*('ｼｰﾄNO.3（表-3）59頁'!$F$13/100)</f>
        <v>42.75</v>
      </c>
      <c r="T23" s="529"/>
      <c r="U23" s="526"/>
      <c r="V23" s="56" t="s">
        <v>66</v>
      </c>
      <c r="W23" s="282">
        <f>U22*('ｼｰﾄNO.3（表-3）59頁'!$F$13/100)</f>
        <v>38.85</v>
      </c>
    </row>
    <row r="24" spans="1:23" ht="15" customHeight="1">
      <c r="A24" s="518"/>
      <c r="B24" s="503" t="s">
        <v>302</v>
      </c>
      <c r="C24" s="514">
        <f>'ｼｰﾄNO.3（表-3）59頁'!$F$46</f>
        <v>824</v>
      </c>
      <c r="D24" s="520">
        <v>111</v>
      </c>
      <c r="E24" s="522">
        <v>147</v>
      </c>
      <c r="F24" s="52" t="s">
        <v>65</v>
      </c>
      <c r="G24" s="278">
        <f>E24*(1-'ｼｰﾄNO.3（表-3）59頁'!$F$13/100)</f>
        <v>139.65</v>
      </c>
      <c r="H24" s="530">
        <v>104</v>
      </c>
      <c r="I24" s="522">
        <v>140</v>
      </c>
      <c r="J24" s="52" t="s">
        <v>65</v>
      </c>
      <c r="K24" s="278">
        <f>I24*(1-'ｼｰﾄNO.3（表-3）59頁'!$F$13/100)</f>
        <v>133</v>
      </c>
      <c r="M24" s="518"/>
      <c r="N24" s="503" t="s">
        <v>302</v>
      </c>
      <c r="O24" s="514">
        <f>'ｼｰﾄNO.3（表-3）59頁'!$F$46</f>
        <v>824</v>
      </c>
      <c r="P24" s="520">
        <v>105</v>
      </c>
      <c r="Q24" s="522">
        <v>141</v>
      </c>
      <c r="R24" s="52" t="s">
        <v>65</v>
      </c>
      <c r="S24" s="278">
        <f>Q24*(1-'ｼｰﾄNO.3（表-3）59頁'!$F$13/100)</f>
        <v>133.94999999999999</v>
      </c>
      <c r="T24" s="530">
        <v>104</v>
      </c>
      <c r="U24" s="522">
        <v>140</v>
      </c>
      <c r="V24" s="52" t="s">
        <v>65</v>
      </c>
      <c r="W24" s="278">
        <f>U24*(1-'ｼｰﾄNO.3（表-3）59頁'!$F$13/100)</f>
        <v>133</v>
      </c>
    </row>
    <row r="25" spans="1:23" ht="15" customHeight="1">
      <c r="A25" s="518"/>
      <c r="B25" s="504"/>
      <c r="C25" s="515"/>
      <c r="D25" s="521"/>
      <c r="E25" s="523"/>
      <c r="F25" s="53" t="s">
        <v>66</v>
      </c>
      <c r="G25" s="279">
        <f>E24*('ｼｰﾄNO.3（表-3）59頁'!$F$13/100)</f>
        <v>7.3500000000000005</v>
      </c>
      <c r="H25" s="528"/>
      <c r="I25" s="523"/>
      <c r="J25" s="53" t="s">
        <v>66</v>
      </c>
      <c r="K25" s="279">
        <f>I24*('ｼｰﾄNO.3（表-3）59頁'!$F$13/100)</f>
        <v>7</v>
      </c>
      <c r="M25" s="518"/>
      <c r="N25" s="504"/>
      <c r="O25" s="515"/>
      <c r="P25" s="521"/>
      <c r="Q25" s="523"/>
      <c r="R25" s="53" t="s">
        <v>66</v>
      </c>
      <c r="S25" s="279">
        <f>Q24*('ｼｰﾄNO.3（表-3）59頁'!$F$13/100)</f>
        <v>7.0500000000000007</v>
      </c>
      <c r="T25" s="528"/>
      <c r="U25" s="523"/>
      <c r="V25" s="53" t="s">
        <v>66</v>
      </c>
      <c r="W25" s="279">
        <f>U24*('ｼｰﾄNO.3（表-3）59頁'!$F$13/100)</f>
        <v>7</v>
      </c>
    </row>
    <row r="26" spans="1:23" ht="15" customHeight="1">
      <c r="A26" s="518"/>
      <c r="B26" s="501" t="s">
        <v>309</v>
      </c>
      <c r="C26" s="508">
        <f>'ｼｰﾄNO.3（表-3）59頁'!$F$48</f>
        <v>910</v>
      </c>
      <c r="D26" s="524">
        <v>135</v>
      </c>
      <c r="E26" s="510">
        <v>44</v>
      </c>
      <c r="F26" s="54" t="s">
        <v>65</v>
      </c>
      <c r="G26" s="280">
        <f>E26*(1-'ｼｰﾄNO.3（表-3）59頁'!$F$13/100)</f>
        <v>41.8</v>
      </c>
      <c r="H26" s="512">
        <v>143</v>
      </c>
      <c r="I26" s="510">
        <v>50</v>
      </c>
      <c r="J26" s="54" t="s">
        <v>65</v>
      </c>
      <c r="K26" s="280">
        <f>I26*(1-'ｼｰﾄNO.3（表-3）59頁'!$F$13/100)</f>
        <v>47.5</v>
      </c>
      <c r="M26" s="518"/>
      <c r="N26" s="501" t="s">
        <v>309</v>
      </c>
      <c r="O26" s="508">
        <f>'ｼｰﾄNO.3（表-3）59頁'!$F$48</f>
        <v>910</v>
      </c>
      <c r="P26" s="524">
        <v>148</v>
      </c>
      <c r="Q26" s="510">
        <v>49</v>
      </c>
      <c r="R26" s="54" t="s">
        <v>65</v>
      </c>
      <c r="S26" s="280">
        <f>Q26*(1-'ｼｰﾄNO.3（表-3）59頁'!$F$13/100)</f>
        <v>46.55</v>
      </c>
      <c r="T26" s="512">
        <v>143</v>
      </c>
      <c r="U26" s="510">
        <v>50</v>
      </c>
      <c r="V26" s="54" t="s">
        <v>65</v>
      </c>
      <c r="W26" s="280">
        <f>U26*(1-'ｼｰﾄNO.3（表-3）59頁'!$F$13/100)</f>
        <v>47.5</v>
      </c>
    </row>
    <row r="27" spans="1:23" ht="15" customHeight="1">
      <c r="A27" s="518"/>
      <c r="B27" s="502"/>
      <c r="C27" s="509"/>
      <c r="D27" s="525"/>
      <c r="E27" s="511"/>
      <c r="F27" s="54" t="s">
        <v>66</v>
      </c>
      <c r="G27" s="280">
        <f>E26*('ｼｰﾄNO.3（表-3）59頁'!$F$13/100)</f>
        <v>2.2000000000000002</v>
      </c>
      <c r="H27" s="513"/>
      <c r="I27" s="511"/>
      <c r="J27" s="54" t="s">
        <v>66</v>
      </c>
      <c r="K27" s="280">
        <f>I26*('ｼｰﾄNO.3（表-3）59頁'!$F$13/100)</f>
        <v>2.5</v>
      </c>
      <c r="M27" s="518"/>
      <c r="N27" s="502"/>
      <c r="O27" s="509"/>
      <c r="P27" s="525"/>
      <c r="Q27" s="511"/>
      <c r="R27" s="54" t="s">
        <v>66</v>
      </c>
      <c r="S27" s="280">
        <f>Q26*('ｼｰﾄNO.3（表-3）59頁'!$F$13/100)</f>
        <v>2.4500000000000002</v>
      </c>
      <c r="T27" s="513"/>
      <c r="U27" s="511"/>
      <c r="V27" s="54" t="s">
        <v>66</v>
      </c>
      <c r="W27" s="280">
        <f>U26*('ｼｰﾄNO.3（表-3）59頁'!$F$13/100)</f>
        <v>2.5</v>
      </c>
    </row>
    <row r="28" spans="1:23" ht="15" customHeight="1">
      <c r="A28" s="518"/>
      <c r="B28" s="504" t="s">
        <v>303</v>
      </c>
      <c r="C28" s="515">
        <f>'ｼｰﾄNO.3（表-3）59頁'!$F$49</f>
        <v>617</v>
      </c>
      <c r="D28" s="521">
        <v>84</v>
      </c>
      <c r="E28" s="523">
        <v>788</v>
      </c>
      <c r="F28" s="55" t="s">
        <v>65</v>
      </c>
      <c r="G28" s="281">
        <f>E28*(1-'ｼｰﾄNO.3（表-3）59頁'!$F$13/100)</f>
        <v>748.59999999999991</v>
      </c>
      <c r="H28" s="528">
        <v>82</v>
      </c>
      <c r="I28" s="523">
        <v>783</v>
      </c>
      <c r="J28" s="55" t="s">
        <v>65</v>
      </c>
      <c r="K28" s="281">
        <f>I28*(1-'ｼｰﾄNO.3（表-3）59頁'!$F$13/100)</f>
        <v>743.84999999999991</v>
      </c>
      <c r="M28" s="518"/>
      <c r="N28" s="504" t="s">
        <v>303</v>
      </c>
      <c r="O28" s="515">
        <f>'ｼｰﾄNO.3（表-3）59頁'!$F$49</f>
        <v>617</v>
      </c>
      <c r="P28" s="521">
        <v>81</v>
      </c>
      <c r="Q28" s="523">
        <v>772</v>
      </c>
      <c r="R28" s="55" t="s">
        <v>65</v>
      </c>
      <c r="S28" s="281">
        <f>Q28*(1-'ｼｰﾄNO.3（表-3）59頁'!$F$13/100)</f>
        <v>733.4</v>
      </c>
      <c r="T28" s="528">
        <v>82</v>
      </c>
      <c r="U28" s="523">
        <v>783</v>
      </c>
      <c r="V28" s="55" t="s">
        <v>65</v>
      </c>
      <c r="W28" s="281">
        <f>U28*(1-'ｼｰﾄNO.3（表-3）59頁'!$F$13/100)</f>
        <v>743.84999999999991</v>
      </c>
    </row>
    <row r="29" spans="1:23" ht="15" customHeight="1">
      <c r="A29" s="519"/>
      <c r="B29" s="505"/>
      <c r="C29" s="516"/>
      <c r="D29" s="527"/>
      <c r="E29" s="526"/>
      <c r="F29" s="56" t="s">
        <v>66</v>
      </c>
      <c r="G29" s="282">
        <f>E28*('ｼｰﾄNO.3（表-3）59頁'!$F$13/100)</f>
        <v>39.400000000000006</v>
      </c>
      <c r="H29" s="529"/>
      <c r="I29" s="526"/>
      <c r="J29" s="56" t="s">
        <v>66</v>
      </c>
      <c r="K29" s="282">
        <f>I28*('ｼｰﾄNO.3（表-3）59頁'!$F$13/100)</f>
        <v>39.150000000000006</v>
      </c>
      <c r="M29" s="519"/>
      <c r="N29" s="505"/>
      <c r="O29" s="516"/>
      <c r="P29" s="527"/>
      <c r="Q29" s="526"/>
      <c r="R29" s="56" t="s">
        <v>66</v>
      </c>
      <c r="S29" s="282">
        <f>Q28*('ｼｰﾄNO.3（表-3）59頁'!$F$13/100)</f>
        <v>38.6</v>
      </c>
      <c r="T29" s="529"/>
      <c r="U29" s="526"/>
      <c r="V29" s="56" t="s">
        <v>66</v>
      </c>
      <c r="W29" s="282">
        <f>U28*('ｼｰﾄNO.3（表-3）59頁'!$F$13/100)</f>
        <v>39.150000000000006</v>
      </c>
    </row>
    <row r="30" spans="1:23" ht="15" customHeight="1">
      <c r="D30" s="533" t="s">
        <v>69</v>
      </c>
      <c r="E30" s="534"/>
      <c r="F30" s="534"/>
      <c r="G30" s="535"/>
      <c r="H30" s="533" t="s">
        <v>38</v>
      </c>
      <c r="I30" s="534"/>
      <c r="J30" s="534"/>
      <c r="K30" s="535"/>
      <c r="P30" s="533" t="s">
        <v>69</v>
      </c>
      <c r="Q30" s="534"/>
      <c r="R30" s="534"/>
      <c r="S30" s="535"/>
      <c r="T30" s="533" t="s">
        <v>38</v>
      </c>
      <c r="U30" s="534"/>
      <c r="V30" s="534"/>
      <c r="W30" s="535"/>
    </row>
    <row r="31" spans="1:23" s="49" customFormat="1" ht="15" customHeight="1">
      <c r="A31" s="506" t="s">
        <v>521</v>
      </c>
      <c r="B31" s="538" t="s">
        <v>522</v>
      </c>
      <c r="C31" s="230" t="s">
        <v>67</v>
      </c>
      <c r="D31" s="50" t="s">
        <v>37</v>
      </c>
      <c r="E31" s="517" t="s">
        <v>13</v>
      </c>
      <c r="F31" s="536"/>
      <c r="G31" s="537"/>
      <c r="H31" s="230" t="s">
        <v>37</v>
      </c>
      <c r="I31" s="517" t="s">
        <v>13</v>
      </c>
      <c r="J31" s="536"/>
      <c r="K31" s="537"/>
      <c r="M31" s="506" t="s">
        <v>521</v>
      </c>
      <c r="N31" s="538" t="s">
        <v>522</v>
      </c>
      <c r="O31" s="230" t="s">
        <v>67</v>
      </c>
      <c r="P31" s="50" t="s">
        <v>37</v>
      </c>
      <c r="Q31" s="517" t="s">
        <v>13</v>
      </c>
      <c r="R31" s="536"/>
      <c r="S31" s="537"/>
      <c r="T31" s="230" t="s">
        <v>37</v>
      </c>
      <c r="U31" s="517" t="s">
        <v>13</v>
      </c>
      <c r="V31" s="536"/>
      <c r="W31" s="537"/>
    </row>
    <row r="32" spans="1:23" s="49" customFormat="1" ht="24" customHeight="1">
      <c r="A32" s="507"/>
      <c r="B32" s="539"/>
      <c r="C32" s="232" t="s">
        <v>523</v>
      </c>
      <c r="D32" s="51" t="s">
        <v>524</v>
      </c>
      <c r="E32" s="519" t="s">
        <v>525</v>
      </c>
      <c r="F32" s="531"/>
      <c r="G32" s="532"/>
      <c r="H32" s="232" t="s">
        <v>526</v>
      </c>
      <c r="I32" s="519" t="s">
        <v>527</v>
      </c>
      <c r="J32" s="531"/>
      <c r="K32" s="532"/>
      <c r="M32" s="507"/>
      <c r="N32" s="539"/>
      <c r="O32" s="232" t="s">
        <v>523</v>
      </c>
      <c r="P32" s="51" t="s">
        <v>603</v>
      </c>
      <c r="Q32" s="519" t="s">
        <v>531</v>
      </c>
      <c r="R32" s="531"/>
      <c r="S32" s="532"/>
      <c r="T32" s="232" t="s">
        <v>526</v>
      </c>
      <c r="U32" s="519" t="s">
        <v>532</v>
      </c>
      <c r="V32" s="531"/>
      <c r="W32" s="532"/>
    </row>
    <row r="33" spans="1:23" ht="15" customHeight="1">
      <c r="A33" s="503" t="s">
        <v>889</v>
      </c>
      <c r="B33" s="503" t="s">
        <v>480</v>
      </c>
      <c r="C33" s="514">
        <f>'ｼｰﾄNO.3（表-3）59頁'!$F$44</f>
        <v>1054</v>
      </c>
      <c r="D33" s="520">
        <v>129</v>
      </c>
      <c r="E33" s="522">
        <v>813</v>
      </c>
      <c r="F33" s="52" t="s">
        <v>65</v>
      </c>
      <c r="G33" s="278">
        <f>E33*(1-'ｼｰﾄNO.3（表-3）59頁'!$F$13/100)</f>
        <v>772.34999999999991</v>
      </c>
      <c r="H33" s="530">
        <v>128</v>
      </c>
      <c r="I33" s="522">
        <v>813</v>
      </c>
      <c r="J33" s="52" t="s">
        <v>65</v>
      </c>
      <c r="K33" s="278">
        <f>I33*(1-'ｼｰﾄNO.3（表-3）59頁'!$F$13/100)</f>
        <v>772.34999999999991</v>
      </c>
      <c r="M33" s="517" t="s">
        <v>888</v>
      </c>
      <c r="N33" s="503" t="s">
        <v>480</v>
      </c>
      <c r="O33" s="514">
        <f>'ｼｰﾄNO.3（表-3）59頁'!$F$44</f>
        <v>1054</v>
      </c>
      <c r="P33" s="520">
        <v>128</v>
      </c>
      <c r="Q33" s="522">
        <v>813</v>
      </c>
      <c r="R33" s="52" t="s">
        <v>65</v>
      </c>
      <c r="S33" s="278">
        <f>Q33*(1-'ｼｰﾄNO.3（表-3）59頁'!$F$13/100)</f>
        <v>772.34999999999991</v>
      </c>
      <c r="T33" s="530">
        <v>128</v>
      </c>
      <c r="U33" s="522">
        <v>813</v>
      </c>
      <c r="V33" s="52" t="s">
        <v>65</v>
      </c>
      <c r="W33" s="278">
        <f>U33*(1-'ｼｰﾄNO.3（表-3）59頁'!$F$13/100)</f>
        <v>772.34999999999991</v>
      </c>
    </row>
    <row r="34" spans="1:23" ht="15" customHeight="1">
      <c r="A34" s="504"/>
      <c r="B34" s="504"/>
      <c r="C34" s="515"/>
      <c r="D34" s="521"/>
      <c r="E34" s="523"/>
      <c r="F34" s="53" t="s">
        <v>66</v>
      </c>
      <c r="G34" s="279">
        <f>E33*('ｼｰﾄNO.3（表-3）59頁'!$F$13/100)</f>
        <v>40.650000000000006</v>
      </c>
      <c r="H34" s="528"/>
      <c r="I34" s="523"/>
      <c r="J34" s="53" t="s">
        <v>66</v>
      </c>
      <c r="K34" s="279">
        <f>I33*('ｼｰﾄNO.3（表-3）59頁'!$F$13/100)</f>
        <v>40.650000000000006</v>
      </c>
      <c r="M34" s="518"/>
      <c r="N34" s="504"/>
      <c r="O34" s="515"/>
      <c r="P34" s="521"/>
      <c r="Q34" s="523"/>
      <c r="R34" s="53" t="s">
        <v>66</v>
      </c>
      <c r="S34" s="279">
        <f>Q33*('ｼｰﾄNO.3（表-3）59頁'!$F$13/100)</f>
        <v>40.650000000000006</v>
      </c>
      <c r="T34" s="528"/>
      <c r="U34" s="523"/>
      <c r="V34" s="53" t="s">
        <v>66</v>
      </c>
      <c r="W34" s="279">
        <f>U33*('ｼｰﾄNO.3（表-3）59頁'!$F$13/100)</f>
        <v>40.650000000000006</v>
      </c>
    </row>
    <row r="35" spans="1:23" ht="15" customHeight="1">
      <c r="A35" s="504"/>
      <c r="B35" s="501" t="s">
        <v>300</v>
      </c>
      <c r="C35" s="508">
        <f>'ｼｰﾄNO.3（表-3）59頁'!$F$45</f>
        <v>761</v>
      </c>
      <c r="D35" s="524">
        <v>103</v>
      </c>
      <c r="E35" s="510">
        <v>160</v>
      </c>
      <c r="F35" s="54" t="s">
        <v>65</v>
      </c>
      <c r="G35" s="280">
        <f>E35*(1-'ｼｰﾄNO.3（表-3）59頁'!$F$13/100)</f>
        <v>152</v>
      </c>
      <c r="H35" s="512">
        <v>98</v>
      </c>
      <c r="I35" s="510">
        <v>156</v>
      </c>
      <c r="J35" s="54" t="s">
        <v>65</v>
      </c>
      <c r="K35" s="280">
        <f>I35*(1-'ｼｰﾄNO.3（表-3）59頁'!$F$13/100)</f>
        <v>148.19999999999999</v>
      </c>
      <c r="M35" s="518"/>
      <c r="N35" s="501" t="s">
        <v>300</v>
      </c>
      <c r="O35" s="508">
        <f>'ｼｰﾄNO.3（表-3）59頁'!$F$45</f>
        <v>761</v>
      </c>
      <c r="P35" s="524">
        <v>98</v>
      </c>
      <c r="Q35" s="510">
        <v>156</v>
      </c>
      <c r="R35" s="54" t="s">
        <v>65</v>
      </c>
      <c r="S35" s="280">
        <f>Q35*(1-'ｼｰﾄNO.3（表-3）59頁'!$F$13/100)</f>
        <v>148.19999999999999</v>
      </c>
      <c r="T35" s="512">
        <v>98</v>
      </c>
      <c r="U35" s="510">
        <v>156</v>
      </c>
      <c r="V35" s="54" t="s">
        <v>65</v>
      </c>
      <c r="W35" s="280">
        <f>U35*(1-'ｼｰﾄNO.3（表-3）59頁'!$F$13/100)</f>
        <v>148.19999999999999</v>
      </c>
    </row>
    <row r="36" spans="1:23" ht="15" customHeight="1">
      <c r="A36" s="504"/>
      <c r="B36" s="502"/>
      <c r="C36" s="509"/>
      <c r="D36" s="525"/>
      <c r="E36" s="511"/>
      <c r="F36" s="54" t="s">
        <v>66</v>
      </c>
      <c r="G36" s="280">
        <f>E35*('ｼｰﾄNO.3（表-3）59頁'!$F$13/100)</f>
        <v>8</v>
      </c>
      <c r="H36" s="513"/>
      <c r="I36" s="511"/>
      <c r="J36" s="54" t="s">
        <v>66</v>
      </c>
      <c r="K36" s="280">
        <f>I35*('ｼｰﾄNO.3（表-3）59頁'!$F$13/100)</f>
        <v>7.8000000000000007</v>
      </c>
      <c r="M36" s="518"/>
      <c r="N36" s="502"/>
      <c r="O36" s="509"/>
      <c r="P36" s="525"/>
      <c r="Q36" s="511"/>
      <c r="R36" s="54" t="s">
        <v>66</v>
      </c>
      <c r="S36" s="280">
        <f>Q35*('ｼｰﾄNO.3（表-3）59頁'!$F$13/100)</f>
        <v>7.8000000000000007</v>
      </c>
      <c r="T36" s="513"/>
      <c r="U36" s="511"/>
      <c r="V36" s="54" t="s">
        <v>66</v>
      </c>
      <c r="W36" s="280">
        <f>U35*('ｼｰﾄNO.3（表-3）59頁'!$F$13/100)</f>
        <v>7.8000000000000007</v>
      </c>
    </row>
    <row r="37" spans="1:23" ht="15" customHeight="1">
      <c r="A37" s="504"/>
      <c r="B37" s="504" t="s">
        <v>481</v>
      </c>
      <c r="C37" s="515">
        <f>'ｼｰﾄNO.3（表-3）59頁'!$F$46</f>
        <v>824</v>
      </c>
      <c r="D37" s="521">
        <v>147</v>
      </c>
      <c r="E37" s="523">
        <v>40</v>
      </c>
      <c r="F37" s="55" t="s">
        <v>65</v>
      </c>
      <c r="G37" s="281">
        <f>E37*(1-'ｼｰﾄNO.3（表-3）59頁'!$F$13/100)</f>
        <v>38</v>
      </c>
      <c r="H37" s="528">
        <v>119</v>
      </c>
      <c r="I37" s="523">
        <v>44</v>
      </c>
      <c r="J37" s="55" t="s">
        <v>65</v>
      </c>
      <c r="K37" s="281">
        <f>I37*(1-'ｼｰﾄNO.3（表-3）59頁'!$F$13/100)</f>
        <v>41.8</v>
      </c>
      <c r="M37" s="518"/>
      <c r="N37" s="504" t="s">
        <v>481</v>
      </c>
      <c r="O37" s="515">
        <f>'ｼｰﾄNO.3（表-3）59頁'!$F$46</f>
        <v>824</v>
      </c>
      <c r="P37" s="521">
        <v>142</v>
      </c>
      <c r="Q37" s="523">
        <v>44</v>
      </c>
      <c r="R37" s="55" t="s">
        <v>65</v>
      </c>
      <c r="S37" s="281">
        <f>Q37*(1-'ｼｰﾄNO.3（表-3）59頁'!$F$13/100)</f>
        <v>41.8</v>
      </c>
      <c r="T37" s="528">
        <v>119</v>
      </c>
      <c r="U37" s="523">
        <v>44</v>
      </c>
      <c r="V37" s="55" t="s">
        <v>65</v>
      </c>
      <c r="W37" s="281">
        <f>U37*(1-'ｼｰﾄNO.3（表-3）59頁'!$F$13/100)</f>
        <v>41.8</v>
      </c>
    </row>
    <row r="38" spans="1:23" ht="15" customHeight="1">
      <c r="A38" s="504"/>
      <c r="B38" s="505"/>
      <c r="C38" s="516"/>
      <c r="D38" s="527"/>
      <c r="E38" s="526"/>
      <c r="F38" s="56" t="s">
        <v>66</v>
      </c>
      <c r="G38" s="282">
        <f>E37*('ｼｰﾄNO.3（表-3）59頁'!$F$13/100)</f>
        <v>2</v>
      </c>
      <c r="H38" s="529"/>
      <c r="I38" s="526"/>
      <c r="J38" s="56" t="s">
        <v>66</v>
      </c>
      <c r="K38" s="282">
        <f>I37*('ｼｰﾄNO.3（表-3）59頁'!$F$13/100)</f>
        <v>2.2000000000000002</v>
      </c>
      <c r="M38" s="518"/>
      <c r="N38" s="505"/>
      <c r="O38" s="516"/>
      <c r="P38" s="527"/>
      <c r="Q38" s="526"/>
      <c r="R38" s="56" t="s">
        <v>66</v>
      </c>
      <c r="S38" s="282">
        <f>Q37*('ｼｰﾄNO.3（表-3）59頁'!$F$13/100)</f>
        <v>2.2000000000000002</v>
      </c>
      <c r="T38" s="529"/>
      <c r="U38" s="526"/>
      <c r="V38" s="56" t="s">
        <v>66</v>
      </c>
      <c r="W38" s="282">
        <f>U37*('ｼｰﾄNO.3（表-3）59頁'!$F$13/100)</f>
        <v>2.2000000000000002</v>
      </c>
    </row>
    <row r="39" spans="1:23" ht="15" customHeight="1">
      <c r="A39" s="504"/>
      <c r="B39" s="503" t="s">
        <v>482</v>
      </c>
      <c r="C39" s="514">
        <f>'ｼｰﾄNO.3（表-3）59頁'!$F$44</f>
        <v>1054</v>
      </c>
      <c r="D39" s="520">
        <v>186</v>
      </c>
      <c r="E39" s="522">
        <v>785</v>
      </c>
      <c r="F39" s="52" t="s">
        <v>65</v>
      </c>
      <c r="G39" s="278">
        <f>E39*(1-'ｼｰﾄNO.3（表-3）59頁'!$F$13/100)</f>
        <v>745.75</v>
      </c>
      <c r="H39" s="530">
        <v>124</v>
      </c>
      <c r="I39" s="522">
        <v>793</v>
      </c>
      <c r="J39" s="52" t="s">
        <v>65</v>
      </c>
      <c r="K39" s="278">
        <f>I39*(1-'ｼｰﾄNO.3（表-3）59頁'!$F$13/100)</f>
        <v>753.34999999999991</v>
      </c>
      <c r="M39" s="518"/>
      <c r="N39" s="503" t="s">
        <v>482</v>
      </c>
      <c r="O39" s="514">
        <f>'ｼｰﾄNO.3（表-3）59頁'!$F$44</f>
        <v>1054</v>
      </c>
      <c r="P39" s="520">
        <v>135</v>
      </c>
      <c r="Q39" s="522">
        <v>793</v>
      </c>
      <c r="R39" s="52" t="s">
        <v>65</v>
      </c>
      <c r="S39" s="278">
        <f>Q39*(1-'ｼｰﾄNO.3（表-3）59頁'!$F$13/100)</f>
        <v>753.34999999999991</v>
      </c>
      <c r="T39" s="530">
        <v>124</v>
      </c>
      <c r="U39" s="522">
        <v>793</v>
      </c>
      <c r="V39" s="52" t="s">
        <v>65</v>
      </c>
      <c r="W39" s="278">
        <f>U39*(1-'ｼｰﾄNO.3（表-3）59頁'!$F$13/100)</f>
        <v>753.34999999999991</v>
      </c>
    </row>
    <row r="40" spans="1:23" ht="15" customHeight="1">
      <c r="A40" s="504"/>
      <c r="B40" s="504"/>
      <c r="C40" s="515"/>
      <c r="D40" s="521"/>
      <c r="E40" s="523"/>
      <c r="F40" s="53" t="s">
        <v>66</v>
      </c>
      <c r="G40" s="279">
        <f>E39*('ｼｰﾄNO.3（表-3）59頁'!$F$13/100)</f>
        <v>39.25</v>
      </c>
      <c r="H40" s="528"/>
      <c r="I40" s="523"/>
      <c r="J40" s="53" t="s">
        <v>66</v>
      </c>
      <c r="K40" s="279">
        <f>I39*('ｼｰﾄNO.3（表-3）59頁'!$F$13/100)</f>
        <v>39.650000000000006</v>
      </c>
      <c r="M40" s="518"/>
      <c r="N40" s="504"/>
      <c r="O40" s="515"/>
      <c r="P40" s="521"/>
      <c r="Q40" s="523"/>
      <c r="R40" s="53" t="s">
        <v>66</v>
      </c>
      <c r="S40" s="279">
        <f>Q39*('ｼｰﾄNO.3（表-3）59頁'!$F$13/100)</f>
        <v>39.650000000000006</v>
      </c>
      <c r="T40" s="528"/>
      <c r="U40" s="523"/>
      <c r="V40" s="53" t="s">
        <v>66</v>
      </c>
      <c r="W40" s="279">
        <f>U39*('ｼｰﾄNO.3（表-3）59頁'!$F$13/100)</f>
        <v>39.650000000000006</v>
      </c>
    </row>
    <row r="41" spans="1:23" ht="15" customHeight="1">
      <c r="A41" s="504"/>
      <c r="B41" s="501" t="s">
        <v>307</v>
      </c>
      <c r="C41" s="508">
        <f>'ｼｰﾄNO.3（表-3）59頁'!$F$47</f>
        <v>848</v>
      </c>
      <c r="D41" s="524">
        <v>153</v>
      </c>
      <c r="E41" s="510">
        <v>151</v>
      </c>
      <c r="F41" s="54" t="s">
        <v>65</v>
      </c>
      <c r="G41" s="280">
        <f>E41*(1-'ｼｰﾄNO.3（表-3）59頁'!$F$13/100)</f>
        <v>143.44999999999999</v>
      </c>
      <c r="H41" s="512">
        <v>135</v>
      </c>
      <c r="I41" s="510">
        <v>42</v>
      </c>
      <c r="J41" s="54" t="s">
        <v>65</v>
      </c>
      <c r="K41" s="280">
        <f>I41*(1-'ｼｰﾄNO.3（表-3）59頁'!$F$13/100)</f>
        <v>39.9</v>
      </c>
      <c r="M41" s="518"/>
      <c r="N41" s="501" t="s">
        <v>307</v>
      </c>
      <c r="O41" s="508">
        <f>'ｼｰﾄNO.3（表-3）59頁'!$F$47</f>
        <v>848</v>
      </c>
      <c r="P41" s="524">
        <v>138</v>
      </c>
      <c r="Q41" s="510">
        <v>42</v>
      </c>
      <c r="R41" s="54" t="s">
        <v>65</v>
      </c>
      <c r="S41" s="280">
        <f>Q41*(1-'ｼｰﾄNO.3（表-3）59頁'!$F$13/100)</f>
        <v>39.9</v>
      </c>
      <c r="T41" s="512">
        <v>135</v>
      </c>
      <c r="U41" s="510">
        <v>42</v>
      </c>
      <c r="V41" s="54" t="s">
        <v>65</v>
      </c>
      <c r="W41" s="280">
        <f>U41*(1-'ｼｰﾄNO.3（表-3）59頁'!$F$13/100)</f>
        <v>39.9</v>
      </c>
    </row>
    <row r="42" spans="1:23" ht="15" customHeight="1">
      <c r="A42" s="504"/>
      <c r="B42" s="502"/>
      <c r="C42" s="509"/>
      <c r="D42" s="525"/>
      <c r="E42" s="511"/>
      <c r="F42" s="54" t="s">
        <v>66</v>
      </c>
      <c r="G42" s="280">
        <f>E41*('ｼｰﾄNO.3（表-3）59頁'!$F$13/100)</f>
        <v>7.5500000000000007</v>
      </c>
      <c r="H42" s="513"/>
      <c r="I42" s="511"/>
      <c r="J42" s="54" t="s">
        <v>66</v>
      </c>
      <c r="K42" s="280">
        <f>I41*('ｼｰﾄNO.3（表-3）59頁'!$F$13/100)</f>
        <v>2.1</v>
      </c>
      <c r="M42" s="518"/>
      <c r="N42" s="502"/>
      <c r="O42" s="509"/>
      <c r="P42" s="525"/>
      <c r="Q42" s="511"/>
      <c r="R42" s="54" t="s">
        <v>66</v>
      </c>
      <c r="S42" s="280">
        <f>Q41*('ｼｰﾄNO.3（表-3）59頁'!$F$13/100)</f>
        <v>2.1</v>
      </c>
      <c r="T42" s="513"/>
      <c r="U42" s="511"/>
      <c r="V42" s="54" t="s">
        <v>66</v>
      </c>
      <c r="W42" s="280">
        <f>U41*('ｼｰﾄNO.3（表-3）59頁'!$F$13/100)</f>
        <v>2.1</v>
      </c>
    </row>
    <row r="43" spans="1:23" ht="15" customHeight="1">
      <c r="A43" s="504"/>
      <c r="B43" s="504" t="s">
        <v>308</v>
      </c>
      <c r="C43" s="515">
        <f>'ｼｰﾄNO.3（表-3）59頁'!$F$48</f>
        <v>910</v>
      </c>
      <c r="D43" s="521">
        <v>169</v>
      </c>
      <c r="E43" s="523">
        <v>174</v>
      </c>
      <c r="F43" s="55" t="s">
        <v>65</v>
      </c>
      <c r="G43" s="281">
        <f>E43*(1-'ｼｰﾄNO.3（表-3）59頁'!$F$13/100)</f>
        <v>165.29999999999998</v>
      </c>
      <c r="H43" s="528">
        <v>109</v>
      </c>
      <c r="I43" s="523">
        <v>155</v>
      </c>
      <c r="J43" s="55" t="s">
        <v>65</v>
      </c>
      <c r="K43" s="281">
        <f>I43*(1-'ｼｰﾄNO.3（表-3）59頁'!$F$13/100)</f>
        <v>147.25</v>
      </c>
      <c r="M43" s="518"/>
      <c r="N43" s="504" t="s">
        <v>308</v>
      </c>
      <c r="O43" s="515">
        <f>'ｼｰﾄNO.3（表-3）59頁'!$F$48</f>
        <v>910</v>
      </c>
      <c r="P43" s="521">
        <v>116</v>
      </c>
      <c r="Q43" s="523">
        <v>155</v>
      </c>
      <c r="R43" s="55" t="s">
        <v>65</v>
      </c>
      <c r="S43" s="281">
        <f>Q43*(1-'ｼｰﾄNO.3（表-3）59頁'!$F$13/100)</f>
        <v>147.25</v>
      </c>
      <c r="T43" s="528">
        <v>109</v>
      </c>
      <c r="U43" s="523">
        <v>155</v>
      </c>
      <c r="V43" s="55" t="s">
        <v>65</v>
      </c>
      <c r="W43" s="281">
        <f>U43*(1-'ｼｰﾄNO.3（表-3）59頁'!$F$13/100)</f>
        <v>147.25</v>
      </c>
    </row>
    <row r="44" spans="1:23" ht="15" customHeight="1">
      <c r="A44" s="504"/>
      <c r="B44" s="505"/>
      <c r="C44" s="516"/>
      <c r="D44" s="527"/>
      <c r="E44" s="526"/>
      <c r="F44" s="56" t="s">
        <v>66</v>
      </c>
      <c r="G44" s="282">
        <f>E43*('ｼｰﾄNO.3（表-3）59頁'!$F$13/100)</f>
        <v>8.7000000000000011</v>
      </c>
      <c r="H44" s="529"/>
      <c r="I44" s="526"/>
      <c r="J44" s="56" t="s">
        <v>66</v>
      </c>
      <c r="K44" s="282">
        <f>I43*('ｼｰﾄNO.3（表-3）59頁'!$F$13/100)</f>
        <v>7.75</v>
      </c>
      <c r="M44" s="518"/>
      <c r="N44" s="505"/>
      <c r="O44" s="516"/>
      <c r="P44" s="527"/>
      <c r="Q44" s="526"/>
      <c r="R44" s="56" t="s">
        <v>66</v>
      </c>
      <c r="S44" s="282">
        <f>Q43*('ｼｰﾄNO.3（表-3）59頁'!$F$13/100)</f>
        <v>7.75</v>
      </c>
      <c r="T44" s="529"/>
      <c r="U44" s="526"/>
      <c r="V44" s="56" t="s">
        <v>66</v>
      </c>
      <c r="W44" s="282">
        <f>U43*('ｼｰﾄNO.3（表-3）59頁'!$F$13/100)</f>
        <v>7.75</v>
      </c>
    </row>
    <row r="45" spans="1:23" ht="15" customHeight="1">
      <c r="A45" s="504"/>
      <c r="B45" s="503" t="s">
        <v>483</v>
      </c>
      <c r="C45" s="514">
        <f>'ｼｰﾄNO.3（表-3）59頁'!$F$45</f>
        <v>761</v>
      </c>
      <c r="D45" s="520">
        <v>137</v>
      </c>
      <c r="E45" s="522">
        <v>48</v>
      </c>
      <c r="F45" s="52" t="s">
        <v>65</v>
      </c>
      <c r="G45" s="278">
        <f>E45*(1-'ｼｰﾄNO.3（表-3）59頁'!$F$13/100)</f>
        <v>45.599999999999994</v>
      </c>
      <c r="H45" s="530">
        <v>121</v>
      </c>
      <c r="I45" s="522">
        <v>57</v>
      </c>
      <c r="J45" s="52" t="s">
        <v>65</v>
      </c>
      <c r="K45" s="278">
        <f>I45*(1-'ｼｰﾄNO.3（表-3）59頁'!$F$13/100)</f>
        <v>54.15</v>
      </c>
      <c r="M45" s="518"/>
      <c r="N45" s="503" t="s">
        <v>483</v>
      </c>
      <c r="O45" s="514">
        <f>'ｼｰﾄNO.3（表-3）59頁'!$F$45</f>
        <v>761</v>
      </c>
      <c r="P45" s="520">
        <v>130</v>
      </c>
      <c r="Q45" s="522">
        <v>57</v>
      </c>
      <c r="R45" s="52" t="s">
        <v>65</v>
      </c>
      <c r="S45" s="278">
        <f>Q45*(1-'ｼｰﾄNO.3（表-3）59頁'!$F$13/100)</f>
        <v>54.15</v>
      </c>
      <c r="T45" s="530">
        <v>121</v>
      </c>
      <c r="U45" s="522">
        <v>57</v>
      </c>
      <c r="V45" s="52" t="s">
        <v>65</v>
      </c>
      <c r="W45" s="278">
        <f>U45*(1-'ｼｰﾄNO.3（表-3）59頁'!$F$13/100)</f>
        <v>54.15</v>
      </c>
    </row>
    <row r="46" spans="1:23" ht="15" customHeight="1">
      <c r="A46" s="504"/>
      <c r="B46" s="504"/>
      <c r="C46" s="515"/>
      <c r="D46" s="521"/>
      <c r="E46" s="523"/>
      <c r="F46" s="53" t="s">
        <v>66</v>
      </c>
      <c r="G46" s="279">
        <f>E45*('ｼｰﾄNO.3（表-3）59頁'!$F$13/100)</f>
        <v>2.4000000000000004</v>
      </c>
      <c r="H46" s="528"/>
      <c r="I46" s="523"/>
      <c r="J46" s="53" t="s">
        <v>66</v>
      </c>
      <c r="K46" s="279">
        <f>I45*('ｼｰﾄNO.3（表-3）59頁'!$F$13/100)</f>
        <v>2.85</v>
      </c>
      <c r="M46" s="518"/>
      <c r="N46" s="504"/>
      <c r="O46" s="515"/>
      <c r="P46" s="521"/>
      <c r="Q46" s="523"/>
      <c r="R46" s="53" t="s">
        <v>66</v>
      </c>
      <c r="S46" s="279">
        <f>Q45*('ｼｰﾄNO.3（表-3）59頁'!$F$13/100)</f>
        <v>2.85</v>
      </c>
      <c r="T46" s="528"/>
      <c r="U46" s="523"/>
      <c r="V46" s="53" t="s">
        <v>66</v>
      </c>
      <c r="W46" s="279">
        <f>U45*('ｼｰﾄNO.3（表-3）59頁'!$F$13/100)</f>
        <v>2.85</v>
      </c>
    </row>
    <row r="47" spans="1:23" ht="15" customHeight="1">
      <c r="A47" s="504"/>
      <c r="B47" s="501" t="s">
        <v>484</v>
      </c>
      <c r="C47" s="508">
        <f>'ｼｰﾄNO.3（表-3）59頁'!$F$47</f>
        <v>848</v>
      </c>
      <c r="D47" s="524">
        <v>103</v>
      </c>
      <c r="E47" s="510">
        <v>171</v>
      </c>
      <c r="F47" s="54" t="s">
        <v>65</v>
      </c>
      <c r="G47" s="280">
        <f>E47*(1-'ｼｰﾄNO.3（表-3）59頁'!$F$13/100)</f>
        <v>162.44999999999999</v>
      </c>
      <c r="H47" s="512">
        <v>110</v>
      </c>
      <c r="I47" s="510">
        <v>167</v>
      </c>
      <c r="J47" s="54" t="s">
        <v>65</v>
      </c>
      <c r="K47" s="280">
        <f>I47*(1-'ｼｰﾄNO.3（表-3）59頁'!$F$13/100)</f>
        <v>158.65</v>
      </c>
      <c r="M47" s="518"/>
      <c r="N47" s="501" t="s">
        <v>484</v>
      </c>
      <c r="O47" s="508">
        <f>'ｼｰﾄNO.3（表-3）59頁'!$F$47</f>
        <v>848</v>
      </c>
      <c r="P47" s="524">
        <v>113</v>
      </c>
      <c r="Q47" s="510">
        <v>167</v>
      </c>
      <c r="R47" s="54" t="s">
        <v>65</v>
      </c>
      <c r="S47" s="280">
        <f>Q47*(1-'ｼｰﾄNO.3（表-3）59頁'!$F$13/100)</f>
        <v>158.65</v>
      </c>
      <c r="T47" s="512">
        <v>110</v>
      </c>
      <c r="U47" s="510">
        <v>167</v>
      </c>
      <c r="V47" s="54" t="s">
        <v>65</v>
      </c>
      <c r="W47" s="280">
        <f>U47*(1-'ｼｰﾄNO.3（表-3）59頁'!$F$13/100)</f>
        <v>158.65</v>
      </c>
    </row>
    <row r="48" spans="1:23" ht="15" customHeight="1">
      <c r="A48" s="504"/>
      <c r="B48" s="502"/>
      <c r="C48" s="509"/>
      <c r="D48" s="525"/>
      <c r="E48" s="511"/>
      <c r="F48" s="54" t="s">
        <v>66</v>
      </c>
      <c r="G48" s="280">
        <f>E47*('ｼｰﾄNO.3（表-3）59頁'!$F$13/100)</f>
        <v>8.5500000000000007</v>
      </c>
      <c r="H48" s="513"/>
      <c r="I48" s="511"/>
      <c r="J48" s="54" t="s">
        <v>66</v>
      </c>
      <c r="K48" s="280">
        <f>I47*('ｼｰﾄNO.3（表-3）59頁'!$F$13/100)</f>
        <v>8.35</v>
      </c>
      <c r="M48" s="518"/>
      <c r="N48" s="502"/>
      <c r="O48" s="509"/>
      <c r="P48" s="525"/>
      <c r="Q48" s="511"/>
      <c r="R48" s="54" t="s">
        <v>66</v>
      </c>
      <c r="S48" s="280">
        <f>Q47*('ｼｰﾄNO.3（表-3）59頁'!$F$13/100)</f>
        <v>8.35</v>
      </c>
      <c r="T48" s="513"/>
      <c r="U48" s="511"/>
      <c r="V48" s="54" t="s">
        <v>66</v>
      </c>
      <c r="W48" s="280">
        <f>U47*('ｼｰﾄNO.3（表-3）59頁'!$F$13/100)</f>
        <v>8.35</v>
      </c>
    </row>
    <row r="49" spans="1:23" ht="15" customHeight="1">
      <c r="A49" s="504"/>
      <c r="B49" s="504" t="s">
        <v>301</v>
      </c>
      <c r="C49" s="515">
        <f>'ｼｰﾄNO.3（表-3）59頁'!$F$49</f>
        <v>617</v>
      </c>
      <c r="D49" s="521">
        <v>85</v>
      </c>
      <c r="E49" s="523">
        <v>789</v>
      </c>
      <c r="F49" s="55" t="s">
        <v>65</v>
      </c>
      <c r="G49" s="281">
        <f>E49*(1-'ｼｰﾄNO.3（表-3）59頁'!$F$13/100)</f>
        <v>749.55</v>
      </c>
      <c r="H49" s="528">
        <v>82</v>
      </c>
      <c r="I49" s="523">
        <v>777</v>
      </c>
      <c r="J49" s="55" t="s">
        <v>65</v>
      </c>
      <c r="K49" s="281">
        <f>I49*(1-'ｼｰﾄNO.3（表-3）59頁'!$F$13/100)</f>
        <v>738.15</v>
      </c>
      <c r="M49" s="518"/>
      <c r="N49" s="504" t="s">
        <v>301</v>
      </c>
      <c r="O49" s="515">
        <f>'ｼｰﾄNO.3（表-3）59頁'!$F$49</f>
        <v>617</v>
      </c>
      <c r="P49" s="521">
        <v>92</v>
      </c>
      <c r="Q49" s="523">
        <v>777</v>
      </c>
      <c r="R49" s="55" t="s">
        <v>65</v>
      </c>
      <c r="S49" s="281">
        <f>Q49*(1-'ｼｰﾄNO.3（表-3）59頁'!$F$13/100)</f>
        <v>738.15</v>
      </c>
      <c r="T49" s="528">
        <v>82</v>
      </c>
      <c r="U49" s="523">
        <v>777</v>
      </c>
      <c r="V49" s="55" t="s">
        <v>65</v>
      </c>
      <c r="W49" s="281">
        <f>U49*(1-'ｼｰﾄNO.3（表-3）59頁'!$F$13/100)</f>
        <v>738.15</v>
      </c>
    </row>
    <row r="50" spans="1:23" ht="15" customHeight="1">
      <c r="A50" s="504"/>
      <c r="B50" s="505"/>
      <c r="C50" s="516"/>
      <c r="D50" s="527"/>
      <c r="E50" s="526"/>
      <c r="F50" s="56" t="s">
        <v>66</v>
      </c>
      <c r="G50" s="282">
        <f>E49*('ｼｰﾄNO.3（表-3）59頁'!$F$13/100)</f>
        <v>39.450000000000003</v>
      </c>
      <c r="H50" s="529"/>
      <c r="I50" s="526"/>
      <c r="J50" s="56" t="s">
        <v>66</v>
      </c>
      <c r="K50" s="282">
        <f>I49*('ｼｰﾄNO.3（表-3）59頁'!$F$13/100)</f>
        <v>38.85</v>
      </c>
      <c r="M50" s="518"/>
      <c r="N50" s="505"/>
      <c r="O50" s="516"/>
      <c r="P50" s="527"/>
      <c r="Q50" s="526"/>
      <c r="R50" s="56" t="s">
        <v>66</v>
      </c>
      <c r="S50" s="282">
        <f>Q49*('ｼｰﾄNO.3（表-3）59頁'!$F$13/100)</f>
        <v>38.85</v>
      </c>
      <c r="T50" s="529"/>
      <c r="U50" s="526"/>
      <c r="V50" s="56" t="s">
        <v>66</v>
      </c>
      <c r="W50" s="282">
        <f>U49*('ｼｰﾄNO.3（表-3）59頁'!$F$13/100)</f>
        <v>38.85</v>
      </c>
    </row>
    <row r="51" spans="1:23" ht="15" customHeight="1">
      <c r="A51" s="504"/>
      <c r="B51" s="503" t="s">
        <v>302</v>
      </c>
      <c r="C51" s="514">
        <f>'ｼｰﾄNO.3（表-3）59頁'!$F$46</f>
        <v>824</v>
      </c>
      <c r="D51" s="520">
        <v>110</v>
      </c>
      <c r="E51" s="522">
        <v>152</v>
      </c>
      <c r="F51" s="52" t="s">
        <v>65</v>
      </c>
      <c r="G51" s="278">
        <f>E51*(1-'ｼｰﾄNO.3（表-3）59頁'!$F$13/100)</f>
        <v>144.4</v>
      </c>
      <c r="H51" s="530">
        <v>104</v>
      </c>
      <c r="I51" s="522">
        <v>140</v>
      </c>
      <c r="J51" s="52" t="s">
        <v>65</v>
      </c>
      <c r="K51" s="278">
        <f>I51*(1-'ｼｰﾄNO.3（表-3）59頁'!$F$13/100)</f>
        <v>133</v>
      </c>
      <c r="M51" s="518"/>
      <c r="N51" s="503" t="s">
        <v>302</v>
      </c>
      <c r="O51" s="514">
        <f>'ｼｰﾄNO.3（表-3）59頁'!$F$46</f>
        <v>824</v>
      </c>
      <c r="P51" s="520">
        <v>410</v>
      </c>
      <c r="Q51" s="522">
        <v>140</v>
      </c>
      <c r="R51" s="52" t="s">
        <v>65</v>
      </c>
      <c r="S51" s="278">
        <f>Q51*(1-'ｼｰﾄNO.3（表-3）59頁'!$F$13/100)</f>
        <v>133</v>
      </c>
      <c r="T51" s="530">
        <v>104</v>
      </c>
      <c r="U51" s="522">
        <v>140</v>
      </c>
      <c r="V51" s="52" t="s">
        <v>65</v>
      </c>
      <c r="W51" s="278">
        <f>U51*(1-'ｼｰﾄNO.3（表-3）59頁'!$F$13/100)</f>
        <v>133</v>
      </c>
    </row>
    <row r="52" spans="1:23" ht="15" customHeight="1">
      <c r="A52" s="504"/>
      <c r="B52" s="504"/>
      <c r="C52" s="515"/>
      <c r="D52" s="521"/>
      <c r="E52" s="523"/>
      <c r="F52" s="53" t="s">
        <v>66</v>
      </c>
      <c r="G52" s="279">
        <f>E51*('ｼｰﾄNO.3（表-3）59頁'!$F$13/100)</f>
        <v>7.6000000000000005</v>
      </c>
      <c r="H52" s="528"/>
      <c r="I52" s="523"/>
      <c r="J52" s="53" t="s">
        <v>66</v>
      </c>
      <c r="K52" s="279">
        <f>I51*('ｼｰﾄNO.3（表-3）59頁'!$F$13/100)</f>
        <v>7</v>
      </c>
      <c r="M52" s="518"/>
      <c r="N52" s="504"/>
      <c r="O52" s="515"/>
      <c r="P52" s="521"/>
      <c r="Q52" s="523"/>
      <c r="R52" s="53" t="s">
        <v>66</v>
      </c>
      <c r="S52" s="279">
        <f>Q51*('ｼｰﾄNO.3（表-3）59頁'!$F$13/100)</f>
        <v>7</v>
      </c>
      <c r="T52" s="528"/>
      <c r="U52" s="523"/>
      <c r="V52" s="53" t="s">
        <v>66</v>
      </c>
      <c r="W52" s="279">
        <f>U51*('ｼｰﾄNO.3（表-3）59頁'!$F$13/100)</f>
        <v>7</v>
      </c>
    </row>
    <row r="53" spans="1:23" ht="15" customHeight="1">
      <c r="A53" s="504"/>
      <c r="B53" s="501" t="s">
        <v>309</v>
      </c>
      <c r="C53" s="508">
        <f>'ｼｰﾄNO.3（表-3）59頁'!$F$48</f>
        <v>910</v>
      </c>
      <c r="D53" s="524">
        <v>132</v>
      </c>
      <c r="E53" s="510">
        <v>46</v>
      </c>
      <c r="F53" s="54" t="s">
        <v>65</v>
      </c>
      <c r="G53" s="280">
        <f>E53*(1-'ｼｰﾄNO.3（表-3）59頁'!$F$13/100)</f>
        <v>43.699999999999996</v>
      </c>
      <c r="H53" s="512">
        <v>143</v>
      </c>
      <c r="I53" s="510">
        <v>50</v>
      </c>
      <c r="J53" s="54" t="s">
        <v>65</v>
      </c>
      <c r="K53" s="280">
        <f>I53*(1-'ｼｰﾄNO.3（表-3）59頁'!$F$13/100)</f>
        <v>47.5</v>
      </c>
      <c r="M53" s="518"/>
      <c r="N53" s="501" t="s">
        <v>309</v>
      </c>
      <c r="O53" s="508">
        <f>'ｼｰﾄNO.3（表-3）59頁'!$F$48</f>
        <v>910</v>
      </c>
      <c r="P53" s="524">
        <v>402</v>
      </c>
      <c r="Q53" s="510">
        <v>50</v>
      </c>
      <c r="R53" s="54" t="s">
        <v>65</v>
      </c>
      <c r="S53" s="280">
        <f>Q53*(1-'ｼｰﾄNO.3（表-3）59頁'!$F$13/100)</f>
        <v>47.5</v>
      </c>
      <c r="T53" s="512">
        <v>143</v>
      </c>
      <c r="U53" s="510">
        <v>50</v>
      </c>
      <c r="V53" s="54" t="s">
        <v>65</v>
      </c>
      <c r="W53" s="280">
        <f>U53*(1-'ｼｰﾄNO.3（表-3）59頁'!$F$13/100)</f>
        <v>47.5</v>
      </c>
    </row>
    <row r="54" spans="1:23" ht="15" customHeight="1">
      <c r="A54" s="504"/>
      <c r="B54" s="502"/>
      <c r="C54" s="509"/>
      <c r="D54" s="525"/>
      <c r="E54" s="511"/>
      <c r="F54" s="54" t="s">
        <v>66</v>
      </c>
      <c r="G54" s="280">
        <f>E53*('ｼｰﾄNO.3（表-3）59頁'!$F$13/100)</f>
        <v>2.3000000000000003</v>
      </c>
      <c r="H54" s="513"/>
      <c r="I54" s="511"/>
      <c r="J54" s="54" t="s">
        <v>66</v>
      </c>
      <c r="K54" s="280">
        <f>I53*('ｼｰﾄNO.3（表-3）59頁'!$F$13/100)</f>
        <v>2.5</v>
      </c>
      <c r="M54" s="518"/>
      <c r="N54" s="502"/>
      <c r="O54" s="509"/>
      <c r="P54" s="525"/>
      <c r="Q54" s="511"/>
      <c r="R54" s="54" t="s">
        <v>66</v>
      </c>
      <c r="S54" s="280">
        <f>Q53*('ｼｰﾄNO.3（表-3）59頁'!$F$13/100)</f>
        <v>2.5</v>
      </c>
      <c r="T54" s="513"/>
      <c r="U54" s="511"/>
      <c r="V54" s="54" t="s">
        <v>66</v>
      </c>
      <c r="W54" s="280">
        <f>U53*('ｼｰﾄNO.3（表-3）59頁'!$F$13/100)</f>
        <v>2.5</v>
      </c>
    </row>
    <row r="55" spans="1:23" ht="15" customHeight="1">
      <c r="A55" s="504"/>
      <c r="B55" s="504" t="s">
        <v>303</v>
      </c>
      <c r="C55" s="515">
        <f>'ｼｰﾄNO.3（表-3）59頁'!$F$49</f>
        <v>617</v>
      </c>
      <c r="D55" s="521">
        <v>84</v>
      </c>
      <c r="E55" s="523">
        <v>785</v>
      </c>
      <c r="F55" s="55" t="s">
        <v>65</v>
      </c>
      <c r="G55" s="281">
        <f>E55*(1-'ｼｰﾄNO.3（表-3）59頁'!$F$13/100)</f>
        <v>745.75</v>
      </c>
      <c r="H55" s="528">
        <v>82</v>
      </c>
      <c r="I55" s="523">
        <v>783</v>
      </c>
      <c r="J55" s="55" t="s">
        <v>65</v>
      </c>
      <c r="K55" s="281">
        <f>I55*(1-'ｼｰﾄNO.3（表-3）59頁'!$F$13/100)</f>
        <v>743.84999999999991</v>
      </c>
      <c r="M55" s="518"/>
      <c r="N55" s="504" t="s">
        <v>303</v>
      </c>
      <c r="O55" s="515">
        <f>'ｼｰﾄNO.3（表-3）59頁'!$F$49</f>
        <v>617</v>
      </c>
      <c r="P55" s="521">
        <v>373</v>
      </c>
      <c r="Q55" s="523">
        <v>783</v>
      </c>
      <c r="R55" s="55" t="s">
        <v>65</v>
      </c>
      <c r="S55" s="281">
        <f>Q55*(1-'ｼｰﾄNO.3（表-3）59頁'!$F$13/100)</f>
        <v>743.84999999999991</v>
      </c>
      <c r="T55" s="528">
        <v>82</v>
      </c>
      <c r="U55" s="523">
        <v>783</v>
      </c>
      <c r="V55" s="55" t="s">
        <v>65</v>
      </c>
      <c r="W55" s="281">
        <f>U55*(1-'ｼｰﾄNO.3（表-3）59頁'!$F$13/100)</f>
        <v>743.84999999999991</v>
      </c>
    </row>
    <row r="56" spans="1:23" ht="15" customHeight="1">
      <c r="A56" s="505"/>
      <c r="B56" s="505"/>
      <c r="C56" s="516"/>
      <c r="D56" s="527"/>
      <c r="E56" s="526"/>
      <c r="F56" s="56" t="s">
        <v>66</v>
      </c>
      <c r="G56" s="282">
        <f>E55*('ｼｰﾄNO.3（表-3）59頁'!$F$13/100)</f>
        <v>39.25</v>
      </c>
      <c r="H56" s="529"/>
      <c r="I56" s="526"/>
      <c r="J56" s="56" t="s">
        <v>66</v>
      </c>
      <c r="K56" s="282">
        <f>I55*('ｼｰﾄNO.3（表-3）59頁'!$F$13/100)</f>
        <v>39.150000000000006</v>
      </c>
      <c r="M56" s="519"/>
      <c r="N56" s="505"/>
      <c r="O56" s="516"/>
      <c r="P56" s="527"/>
      <c r="Q56" s="526"/>
      <c r="R56" s="56" t="s">
        <v>66</v>
      </c>
      <c r="S56" s="282">
        <f>Q55*('ｼｰﾄNO.3（表-3）59頁'!$F$13/100)</f>
        <v>39.150000000000006</v>
      </c>
      <c r="T56" s="529"/>
      <c r="U56" s="526"/>
      <c r="V56" s="56" t="s">
        <v>66</v>
      </c>
      <c r="W56" s="282">
        <f>U55*('ｼｰﾄNO.3（表-3）59頁'!$F$13/100)</f>
        <v>39.150000000000006</v>
      </c>
    </row>
    <row r="57" spans="1:23" ht="15" customHeight="1">
      <c r="A57" s="57"/>
      <c r="B57" s="57"/>
      <c r="C57" s="57"/>
      <c r="D57" s="533" t="s">
        <v>69</v>
      </c>
      <c r="E57" s="534"/>
      <c r="F57" s="534"/>
      <c r="G57" s="535"/>
      <c r="H57" s="533" t="s">
        <v>38</v>
      </c>
      <c r="I57" s="534"/>
      <c r="J57" s="534"/>
      <c r="K57" s="535"/>
      <c r="P57" s="58"/>
      <c r="Q57" s="59"/>
      <c r="S57" s="59"/>
      <c r="T57" s="60"/>
      <c r="U57" s="61"/>
      <c r="W57" s="59"/>
    </row>
    <row r="58" spans="1:23" s="49" customFormat="1" ht="15" customHeight="1">
      <c r="A58" s="506" t="s">
        <v>521</v>
      </c>
      <c r="B58" s="538" t="s">
        <v>522</v>
      </c>
      <c r="C58" s="230" t="s">
        <v>67</v>
      </c>
      <c r="D58" s="50" t="s">
        <v>37</v>
      </c>
      <c r="E58" s="517" t="s">
        <v>13</v>
      </c>
      <c r="F58" s="536"/>
      <c r="G58" s="537"/>
      <c r="H58" s="230" t="s">
        <v>37</v>
      </c>
      <c r="I58" s="517" t="s">
        <v>13</v>
      </c>
      <c r="J58" s="536"/>
      <c r="K58" s="537"/>
    </row>
    <row r="59" spans="1:23" s="49" customFormat="1" ht="27" customHeight="1">
      <c r="A59" s="507"/>
      <c r="B59" s="539"/>
      <c r="C59" s="232" t="s">
        <v>523</v>
      </c>
      <c r="D59" s="51" t="s">
        <v>524</v>
      </c>
      <c r="E59" s="519" t="s">
        <v>525</v>
      </c>
      <c r="F59" s="531"/>
      <c r="G59" s="532"/>
      <c r="H59" s="232" t="s">
        <v>526</v>
      </c>
      <c r="I59" s="519" t="s">
        <v>527</v>
      </c>
      <c r="J59" s="531"/>
      <c r="K59" s="532"/>
    </row>
    <row r="60" spans="1:23" ht="15" customHeight="1">
      <c r="A60" s="517" t="s">
        <v>890</v>
      </c>
      <c r="B60" s="503" t="s">
        <v>480</v>
      </c>
      <c r="C60" s="514">
        <f>'ｼｰﾄNO.3（表-3）59頁'!$F$44</f>
        <v>1054</v>
      </c>
      <c r="D60" s="520">
        <v>125</v>
      </c>
      <c r="E60" s="522">
        <v>816</v>
      </c>
      <c r="F60" s="52" t="s">
        <v>65</v>
      </c>
      <c r="G60" s="278">
        <f>E60*(1-'ｼｰﾄNO.3（表-3）59頁'!$F$13/100)</f>
        <v>775.19999999999993</v>
      </c>
      <c r="H60" s="530">
        <v>128</v>
      </c>
      <c r="I60" s="522">
        <v>813</v>
      </c>
      <c r="J60" s="52" t="s">
        <v>65</v>
      </c>
      <c r="K60" s="278">
        <f>I60*(1-'ｼｰﾄNO.3（表-3）59頁'!$F$13/100)</f>
        <v>772.34999999999991</v>
      </c>
    </row>
    <row r="61" spans="1:23" ht="15" customHeight="1">
      <c r="A61" s="518"/>
      <c r="B61" s="504"/>
      <c r="C61" s="515"/>
      <c r="D61" s="521"/>
      <c r="E61" s="523"/>
      <c r="F61" s="53" t="s">
        <v>66</v>
      </c>
      <c r="G61" s="279">
        <f>E60*('ｼｰﾄNO.3（表-3）59頁'!$F$13/100)</f>
        <v>40.800000000000004</v>
      </c>
      <c r="H61" s="528"/>
      <c r="I61" s="523"/>
      <c r="J61" s="53" t="s">
        <v>66</v>
      </c>
      <c r="K61" s="279">
        <f>I60*('ｼｰﾄNO.3（表-3）59頁'!$F$13/100)</f>
        <v>40.650000000000006</v>
      </c>
    </row>
    <row r="62" spans="1:23" ht="15" customHeight="1">
      <c r="A62" s="518"/>
      <c r="B62" s="501" t="s">
        <v>300</v>
      </c>
      <c r="C62" s="508">
        <f>'ｼｰﾄNO.3（表-3）59頁'!$F$45</f>
        <v>761</v>
      </c>
      <c r="D62" s="524">
        <v>99</v>
      </c>
      <c r="E62" s="510">
        <v>156</v>
      </c>
      <c r="F62" s="54" t="s">
        <v>65</v>
      </c>
      <c r="G62" s="280">
        <f>E62*(1-'ｼｰﾄNO.3（表-3）59頁'!$F$13/100)</f>
        <v>148.19999999999999</v>
      </c>
      <c r="H62" s="512">
        <v>98</v>
      </c>
      <c r="I62" s="510">
        <v>156</v>
      </c>
      <c r="J62" s="54" t="s">
        <v>65</v>
      </c>
      <c r="K62" s="280">
        <f>I62*(1-'ｼｰﾄNO.3（表-3）59頁'!$F$13/100)</f>
        <v>148.19999999999999</v>
      </c>
    </row>
    <row r="63" spans="1:23" ht="15" customHeight="1">
      <c r="A63" s="518"/>
      <c r="B63" s="502"/>
      <c r="C63" s="509"/>
      <c r="D63" s="525"/>
      <c r="E63" s="511"/>
      <c r="F63" s="54" t="s">
        <v>66</v>
      </c>
      <c r="G63" s="280">
        <f>E62*('ｼｰﾄNO.3（表-3）59頁'!$F$13/100)</f>
        <v>7.8000000000000007</v>
      </c>
      <c r="H63" s="513"/>
      <c r="I63" s="511"/>
      <c r="J63" s="54" t="s">
        <v>66</v>
      </c>
      <c r="K63" s="280">
        <f>I62*('ｼｰﾄNO.3（表-3）59頁'!$F$13/100)</f>
        <v>7.8000000000000007</v>
      </c>
    </row>
    <row r="64" spans="1:23" ht="15" customHeight="1">
      <c r="A64" s="518"/>
      <c r="B64" s="504" t="s">
        <v>481</v>
      </c>
      <c r="C64" s="515">
        <f>'ｼｰﾄNO.3（表-3）59頁'!$F$46</f>
        <v>824</v>
      </c>
      <c r="D64" s="521">
        <v>138</v>
      </c>
      <c r="E64" s="523">
        <v>41</v>
      </c>
      <c r="F64" s="55" t="s">
        <v>65</v>
      </c>
      <c r="G64" s="281">
        <f>E64*(1-'ｼｰﾄNO.3（表-3）59頁'!$F$13/100)</f>
        <v>38.949999999999996</v>
      </c>
      <c r="H64" s="528">
        <v>119</v>
      </c>
      <c r="I64" s="523">
        <v>44</v>
      </c>
      <c r="J64" s="55" t="s">
        <v>65</v>
      </c>
      <c r="K64" s="281">
        <f>I64*(1-'ｼｰﾄNO.3（表-3）59頁'!$F$13/100)</f>
        <v>41.8</v>
      </c>
    </row>
    <row r="65" spans="1:11" ht="15" customHeight="1">
      <c r="A65" s="518"/>
      <c r="B65" s="505"/>
      <c r="C65" s="516"/>
      <c r="D65" s="527"/>
      <c r="E65" s="526"/>
      <c r="F65" s="56" t="s">
        <v>66</v>
      </c>
      <c r="G65" s="282">
        <f>E64*('ｼｰﾄNO.3（表-3）59頁'!$F$13/100)</f>
        <v>2.0500000000000003</v>
      </c>
      <c r="H65" s="529"/>
      <c r="I65" s="526"/>
      <c r="J65" s="56" t="s">
        <v>66</v>
      </c>
      <c r="K65" s="282">
        <f>I64*('ｼｰﾄNO.3（表-3）59頁'!$F$13/100)</f>
        <v>2.2000000000000002</v>
      </c>
    </row>
    <row r="66" spans="1:11" ht="15" customHeight="1">
      <c r="A66" s="518"/>
      <c r="B66" s="503" t="s">
        <v>482</v>
      </c>
      <c r="C66" s="514">
        <f>'ｼｰﾄNO.3（表-3）59頁'!$F$44</f>
        <v>1054</v>
      </c>
      <c r="D66" s="520">
        <v>133</v>
      </c>
      <c r="E66" s="522">
        <v>795</v>
      </c>
      <c r="F66" s="52" t="s">
        <v>65</v>
      </c>
      <c r="G66" s="278">
        <f>E66*(1-'ｼｰﾄNO.3（表-3）59頁'!$F$13/100)</f>
        <v>755.25</v>
      </c>
      <c r="H66" s="530">
        <v>124</v>
      </c>
      <c r="I66" s="522">
        <v>793</v>
      </c>
      <c r="J66" s="52" t="s">
        <v>65</v>
      </c>
      <c r="K66" s="278">
        <f>I66*(1-'ｼｰﾄNO.3（表-3）59頁'!$F$13/100)</f>
        <v>753.34999999999991</v>
      </c>
    </row>
    <row r="67" spans="1:11" ht="15" customHeight="1">
      <c r="A67" s="518"/>
      <c r="B67" s="504"/>
      <c r="C67" s="515"/>
      <c r="D67" s="521"/>
      <c r="E67" s="523"/>
      <c r="F67" s="53" t="s">
        <v>66</v>
      </c>
      <c r="G67" s="279">
        <f>E66*('ｼｰﾄNO.3（表-3）59頁'!$F$13/100)</f>
        <v>39.75</v>
      </c>
      <c r="H67" s="528"/>
      <c r="I67" s="523"/>
      <c r="J67" s="53" t="s">
        <v>66</v>
      </c>
      <c r="K67" s="279">
        <f>I66*('ｼｰﾄNO.3（表-3）59頁'!$F$13/100)</f>
        <v>39.650000000000006</v>
      </c>
    </row>
    <row r="68" spans="1:11" ht="15" customHeight="1">
      <c r="A68" s="518"/>
      <c r="B68" s="501" t="s">
        <v>307</v>
      </c>
      <c r="C68" s="508">
        <f>'ｼｰﾄNO.3（表-3）59頁'!$F$47</f>
        <v>848</v>
      </c>
      <c r="D68" s="524">
        <v>133</v>
      </c>
      <c r="E68" s="510">
        <v>41</v>
      </c>
      <c r="F68" s="54" t="s">
        <v>65</v>
      </c>
      <c r="G68" s="280">
        <f>E68*(1-'ｼｰﾄNO.3（表-3）59頁'!$F$13/100)</f>
        <v>38.949999999999996</v>
      </c>
      <c r="H68" s="512">
        <v>135</v>
      </c>
      <c r="I68" s="510">
        <v>42</v>
      </c>
      <c r="J68" s="54" t="s">
        <v>65</v>
      </c>
      <c r="K68" s="280">
        <f>I68*(1-'ｼｰﾄNO.3（表-3）59頁'!$F$13/100)</f>
        <v>39.9</v>
      </c>
    </row>
    <row r="69" spans="1:11" ht="15" customHeight="1">
      <c r="A69" s="518"/>
      <c r="B69" s="502"/>
      <c r="C69" s="509"/>
      <c r="D69" s="525"/>
      <c r="E69" s="511"/>
      <c r="F69" s="54" t="s">
        <v>66</v>
      </c>
      <c r="G69" s="280">
        <f>E68*('ｼｰﾄNO.3（表-3）59頁'!$F$13/100)</f>
        <v>2.0500000000000003</v>
      </c>
      <c r="H69" s="513"/>
      <c r="I69" s="511"/>
      <c r="J69" s="54" t="s">
        <v>66</v>
      </c>
      <c r="K69" s="280">
        <f>I68*('ｼｰﾄNO.3（表-3）59頁'!$F$13/100)</f>
        <v>2.1</v>
      </c>
    </row>
    <row r="70" spans="1:11" ht="15" customHeight="1">
      <c r="A70" s="518"/>
      <c r="B70" s="504" t="s">
        <v>308</v>
      </c>
      <c r="C70" s="515">
        <f>'ｼｰﾄNO.3（表-3）59頁'!$F$48</f>
        <v>910</v>
      </c>
      <c r="D70" s="521">
        <v>120</v>
      </c>
      <c r="E70" s="523">
        <v>152</v>
      </c>
      <c r="F70" s="55" t="s">
        <v>65</v>
      </c>
      <c r="G70" s="281">
        <f>E70*(1-'ｼｰﾄNO.3（表-3）59頁'!$F$13/100)</f>
        <v>144.4</v>
      </c>
      <c r="H70" s="528">
        <v>109</v>
      </c>
      <c r="I70" s="523">
        <v>155</v>
      </c>
      <c r="J70" s="55" t="s">
        <v>65</v>
      </c>
      <c r="K70" s="281">
        <f>I70*(1-'ｼｰﾄNO.3（表-3）59頁'!$F$13/100)</f>
        <v>147.25</v>
      </c>
    </row>
    <row r="71" spans="1:11" ht="15" customHeight="1">
      <c r="A71" s="518"/>
      <c r="B71" s="505"/>
      <c r="C71" s="516"/>
      <c r="D71" s="527"/>
      <c r="E71" s="526"/>
      <c r="F71" s="56" t="s">
        <v>66</v>
      </c>
      <c r="G71" s="282">
        <f>E70*('ｼｰﾄNO.3（表-3）59頁'!$F$13/100)</f>
        <v>7.6000000000000005</v>
      </c>
      <c r="H71" s="529"/>
      <c r="I71" s="526"/>
      <c r="J71" s="56" t="s">
        <v>66</v>
      </c>
      <c r="K71" s="282">
        <f>I70*('ｼｰﾄNO.3（表-3）59頁'!$F$13/100)</f>
        <v>7.75</v>
      </c>
    </row>
    <row r="72" spans="1:11" ht="15" customHeight="1">
      <c r="A72" s="518"/>
      <c r="B72" s="503" t="s">
        <v>483</v>
      </c>
      <c r="C72" s="514">
        <f>'ｼｰﾄNO.3（表-3）59頁'!$F$45</f>
        <v>761</v>
      </c>
      <c r="D72" s="520">
        <v>125</v>
      </c>
      <c r="E72" s="522">
        <v>47</v>
      </c>
      <c r="F72" s="52" t="s">
        <v>65</v>
      </c>
      <c r="G72" s="278">
        <f>E72*(1-'ｼｰﾄNO.3（表-3）59頁'!$F$13/100)</f>
        <v>44.65</v>
      </c>
      <c r="H72" s="530">
        <v>121</v>
      </c>
      <c r="I72" s="522">
        <v>57</v>
      </c>
      <c r="J72" s="52" t="s">
        <v>65</v>
      </c>
      <c r="K72" s="278">
        <f>I72*(1-'ｼｰﾄNO.3（表-3）59頁'!$F$13/100)</f>
        <v>54.15</v>
      </c>
    </row>
    <row r="73" spans="1:11" ht="15" customHeight="1">
      <c r="A73" s="518"/>
      <c r="B73" s="504"/>
      <c r="C73" s="515"/>
      <c r="D73" s="521"/>
      <c r="E73" s="523"/>
      <c r="F73" s="53" t="s">
        <v>66</v>
      </c>
      <c r="G73" s="279">
        <f>E72*('ｼｰﾄNO.3（表-3）59頁'!$F$13/100)</f>
        <v>2.35</v>
      </c>
      <c r="H73" s="528"/>
      <c r="I73" s="523"/>
      <c r="J73" s="53" t="s">
        <v>66</v>
      </c>
      <c r="K73" s="279">
        <f>I72*('ｼｰﾄNO.3（表-3）59頁'!$F$13/100)</f>
        <v>2.85</v>
      </c>
    </row>
    <row r="74" spans="1:11" ht="15" customHeight="1">
      <c r="A74" s="518"/>
      <c r="B74" s="501" t="s">
        <v>484</v>
      </c>
      <c r="C74" s="508">
        <f>'ｼｰﾄNO.3（表-3）59頁'!$F$47</f>
        <v>848</v>
      </c>
      <c r="D74" s="524">
        <v>107</v>
      </c>
      <c r="E74" s="510">
        <v>167</v>
      </c>
      <c r="F74" s="54" t="s">
        <v>65</v>
      </c>
      <c r="G74" s="280">
        <f>E74*(1-'ｼｰﾄNO.3（表-3）59頁'!$F$13/100)</f>
        <v>158.65</v>
      </c>
      <c r="H74" s="512">
        <v>110</v>
      </c>
      <c r="I74" s="510">
        <v>167</v>
      </c>
      <c r="J74" s="54" t="s">
        <v>65</v>
      </c>
      <c r="K74" s="280">
        <f>I74*(1-'ｼｰﾄNO.3（表-3）59頁'!$F$13/100)</f>
        <v>158.65</v>
      </c>
    </row>
    <row r="75" spans="1:11" ht="15" customHeight="1">
      <c r="A75" s="518"/>
      <c r="B75" s="502"/>
      <c r="C75" s="509"/>
      <c r="D75" s="525"/>
      <c r="E75" s="511"/>
      <c r="F75" s="54" t="s">
        <v>66</v>
      </c>
      <c r="G75" s="280">
        <f>E74*('ｼｰﾄNO.3（表-3）59頁'!$F$13/100)</f>
        <v>8.35</v>
      </c>
      <c r="H75" s="513"/>
      <c r="I75" s="511"/>
      <c r="J75" s="54" t="s">
        <v>66</v>
      </c>
      <c r="K75" s="280">
        <f>I74*('ｼｰﾄNO.3（表-3）59頁'!$F$13/100)</f>
        <v>8.35</v>
      </c>
    </row>
    <row r="76" spans="1:11" ht="15" customHeight="1">
      <c r="A76" s="518"/>
      <c r="B76" s="504" t="s">
        <v>301</v>
      </c>
      <c r="C76" s="515">
        <f>'ｼｰﾄNO.3（表-3）59頁'!$F$49</f>
        <v>617</v>
      </c>
      <c r="D76" s="521">
        <v>85</v>
      </c>
      <c r="E76" s="523">
        <v>787</v>
      </c>
      <c r="F76" s="55" t="s">
        <v>65</v>
      </c>
      <c r="G76" s="281">
        <f>E76*(1-'ｼｰﾄNO.3（表-3）59頁'!$F$13/100)</f>
        <v>747.65</v>
      </c>
      <c r="H76" s="528">
        <v>82</v>
      </c>
      <c r="I76" s="523">
        <v>777</v>
      </c>
      <c r="J76" s="55" t="s">
        <v>65</v>
      </c>
      <c r="K76" s="281">
        <f>I76*(1-'ｼｰﾄNO.3（表-3）59頁'!$F$13/100)</f>
        <v>738.15</v>
      </c>
    </row>
    <row r="77" spans="1:11" ht="15" customHeight="1">
      <c r="A77" s="518"/>
      <c r="B77" s="505"/>
      <c r="C77" s="516"/>
      <c r="D77" s="527"/>
      <c r="E77" s="526"/>
      <c r="F77" s="56" t="s">
        <v>66</v>
      </c>
      <c r="G77" s="282">
        <f>E76*('ｼｰﾄNO.3（表-3）59頁'!$F$13/100)</f>
        <v>39.35</v>
      </c>
      <c r="H77" s="529"/>
      <c r="I77" s="526"/>
      <c r="J77" s="56" t="s">
        <v>66</v>
      </c>
      <c r="K77" s="282">
        <f>I76*('ｼｰﾄNO.3（表-3）59頁'!$F$13/100)</f>
        <v>38.85</v>
      </c>
    </row>
    <row r="78" spans="1:11" ht="15" customHeight="1">
      <c r="A78" s="518"/>
      <c r="B78" s="503" t="s">
        <v>302</v>
      </c>
      <c r="C78" s="514">
        <f>'ｼｰﾄNO.3（表-3）59頁'!$F$46</f>
        <v>824</v>
      </c>
      <c r="D78" s="520">
        <v>106</v>
      </c>
      <c r="E78" s="522">
        <v>140</v>
      </c>
      <c r="F78" s="52" t="s">
        <v>65</v>
      </c>
      <c r="G78" s="278">
        <f>E78*(1-'ｼｰﾄNO.3（表-3）59頁'!$F$13/100)</f>
        <v>133</v>
      </c>
      <c r="H78" s="530">
        <v>104</v>
      </c>
      <c r="I78" s="522">
        <v>140</v>
      </c>
      <c r="J78" s="52" t="s">
        <v>65</v>
      </c>
      <c r="K78" s="278">
        <f>I78*(1-'ｼｰﾄNO.3（表-3）59頁'!$F$13/100)</f>
        <v>133</v>
      </c>
    </row>
    <row r="79" spans="1:11" ht="15" customHeight="1">
      <c r="A79" s="518"/>
      <c r="B79" s="504"/>
      <c r="C79" s="515"/>
      <c r="D79" s="521"/>
      <c r="E79" s="523"/>
      <c r="F79" s="53" t="s">
        <v>66</v>
      </c>
      <c r="G79" s="279">
        <f>E78*('ｼｰﾄNO.3（表-3）59頁'!$F$13/100)</f>
        <v>7</v>
      </c>
      <c r="H79" s="528"/>
      <c r="I79" s="523"/>
      <c r="J79" s="53" t="s">
        <v>66</v>
      </c>
      <c r="K79" s="279">
        <f>I78*('ｼｰﾄNO.3（表-3）59頁'!$F$13/100)</f>
        <v>7</v>
      </c>
    </row>
    <row r="80" spans="1:11" ht="15" customHeight="1">
      <c r="A80" s="518"/>
      <c r="B80" s="501" t="s">
        <v>309</v>
      </c>
      <c r="C80" s="508">
        <f>'ｼｰﾄNO.3（表-3）59頁'!$F$48</f>
        <v>910</v>
      </c>
      <c r="D80" s="524">
        <v>129</v>
      </c>
      <c r="E80" s="510">
        <v>45</v>
      </c>
      <c r="F80" s="54" t="s">
        <v>65</v>
      </c>
      <c r="G80" s="280">
        <f>E80*(1-'ｼｰﾄNO.3（表-3）59頁'!$F$13/100)</f>
        <v>42.75</v>
      </c>
      <c r="H80" s="512">
        <v>143</v>
      </c>
      <c r="I80" s="510">
        <v>50</v>
      </c>
      <c r="J80" s="54" t="s">
        <v>65</v>
      </c>
      <c r="K80" s="280">
        <f>I80*(1-'ｼｰﾄNO.3（表-3）59頁'!$F$13/100)</f>
        <v>47.5</v>
      </c>
    </row>
    <row r="81" spans="1:11" ht="15" customHeight="1">
      <c r="A81" s="518"/>
      <c r="B81" s="502"/>
      <c r="C81" s="509"/>
      <c r="D81" s="525"/>
      <c r="E81" s="511"/>
      <c r="F81" s="54" t="s">
        <v>66</v>
      </c>
      <c r="G81" s="280">
        <f>E80*('ｼｰﾄNO.3（表-3）59頁'!$F$13/100)</f>
        <v>2.25</v>
      </c>
      <c r="H81" s="513"/>
      <c r="I81" s="511"/>
      <c r="J81" s="54" t="s">
        <v>66</v>
      </c>
      <c r="K81" s="280">
        <f>I80*('ｼｰﾄNO.3（表-3）59頁'!$F$13/100)</f>
        <v>2.5</v>
      </c>
    </row>
    <row r="82" spans="1:11" ht="15" customHeight="1">
      <c r="A82" s="518"/>
      <c r="B82" s="504" t="s">
        <v>303</v>
      </c>
      <c r="C82" s="515">
        <f>'ｼｰﾄNO.3（表-3）59頁'!$F$49</f>
        <v>617</v>
      </c>
      <c r="D82" s="521">
        <v>83</v>
      </c>
      <c r="E82" s="523">
        <v>792</v>
      </c>
      <c r="F82" s="55" t="s">
        <v>65</v>
      </c>
      <c r="G82" s="281">
        <f>E82*(1-'ｼｰﾄNO.3（表-3）59頁'!$F$13/100)</f>
        <v>752.4</v>
      </c>
      <c r="H82" s="528">
        <v>82</v>
      </c>
      <c r="I82" s="523">
        <v>783</v>
      </c>
      <c r="J82" s="55" t="s">
        <v>65</v>
      </c>
      <c r="K82" s="281">
        <f>I82*(1-'ｼｰﾄNO.3（表-3）59頁'!$F$13/100)</f>
        <v>743.84999999999991</v>
      </c>
    </row>
    <row r="83" spans="1:11" ht="15" customHeight="1">
      <c r="A83" s="519"/>
      <c r="B83" s="505"/>
      <c r="C83" s="516"/>
      <c r="D83" s="527"/>
      <c r="E83" s="526"/>
      <c r="F83" s="56" t="s">
        <v>66</v>
      </c>
      <c r="G83" s="282">
        <f>E82*('ｼｰﾄNO.3（表-3）59頁'!$F$13/100)</f>
        <v>39.6</v>
      </c>
      <c r="H83" s="529"/>
      <c r="I83" s="526"/>
      <c r="J83" s="56" t="s">
        <v>66</v>
      </c>
      <c r="K83" s="282">
        <f>I82*('ｼｰﾄNO.3（表-3）59頁'!$F$13/100)</f>
        <v>39.150000000000006</v>
      </c>
    </row>
    <row r="85" spans="1:11" s="49" customFormat="1" ht="15" customHeight="1"/>
    <row r="86" spans="1:11" s="49" customFormat="1" ht="15" customHeight="1"/>
    <row r="112" s="49" customFormat="1" ht="15" customHeight="1"/>
    <row r="113" s="49" customFormat="1" ht="15" customHeight="1"/>
  </sheetData>
  <mergeCells count="407">
    <mergeCell ref="A1:J1"/>
    <mergeCell ref="A31:A32"/>
    <mergeCell ref="B31:B32"/>
    <mergeCell ref="C28:C29"/>
    <mergeCell ref="D28:D29"/>
    <mergeCell ref="H28:H29"/>
    <mergeCell ref="H20:H21"/>
    <mergeCell ref="C12:C13"/>
    <mergeCell ref="D12:D13"/>
    <mergeCell ref="E12:E13"/>
    <mergeCell ref="H12:H13"/>
    <mergeCell ref="C18:C19"/>
    <mergeCell ref="D18:D19"/>
    <mergeCell ref="E18:E19"/>
    <mergeCell ref="H18:H19"/>
    <mergeCell ref="E20:E21"/>
    <mergeCell ref="C22:C23"/>
    <mergeCell ref="D26:D27"/>
    <mergeCell ref="E26:E27"/>
    <mergeCell ref="H26:H27"/>
    <mergeCell ref="D30:G30"/>
    <mergeCell ref="H30:K30"/>
    <mergeCell ref="E31:G31"/>
    <mergeCell ref="I31:K31"/>
    <mergeCell ref="I26:I27"/>
    <mergeCell ref="P47:P48"/>
    <mergeCell ref="D22:D23"/>
    <mergeCell ref="E22:E23"/>
    <mergeCell ref="H22:H23"/>
    <mergeCell ref="I22:I23"/>
    <mergeCell ref="C26:C27"/>
    <mergeCell ref="Q47:Q48"/>
    <mergeCell ref="M33:M56"/>
    <mergeCell ref="E32:G32"/>
    <mergeCell ref="I55:I56"/>
    <mergeCell ref="H45:H46"/>
    <mergeCell ref="I28:I29"/>
    <mergeCell ref="P45:P46"/>
    <mergeCell ref="Q45:Q46"/>
    <mergeCell ref="Q55:Q56"/>
    <mergeCell ref="Q28:Q29"/>
    <mergeCell ref="N49:N50"/>
    <mergeCell ref="O49:O50"/>
    <mergeCell ref="P49:P50"/>
    <mergeCell ref="Q49:Q50"/>
    <mergeCell ref="I53:I54"/>
    <mergeCell ref="E55:E56"/>
    <mergeCell ref="C24:C25"/>
    <mergeCell ref="D24:D25"/>
    <mergeCell ref="O6:O7"/>
    <mergeCell ref="P6:P7"/>
    <mergeCell ref="Q6:Q7"/>
    <mergeCell ref="T6:T7"/>
    <mergeCell ref="O10:O11"/>
    <mergeCell ref="P10:P11"/>
    <mergeCell ref="Q10:Q11"/>
    <mergeCell ref="N14:N15"/>
    <mergeCell ref="O14:O15"/>
    <mergeCell ref="Q8:Q9"/>
    <mergeCell ref="N8:N9"/>
    <mergeCell ref="O8:O9"/>
    <mergeCell ref="P8:P9"/>
    <mergeCell ref="I24:I25"/>
    <mergeCell ref="I14:I15"/>
    <mergeCell ref="E24:E25"/>
    <mergeCell ref="H24:H25"/>
    <mergeCell ref="N55:N56"/>
    <mergeCell ref="T45:T46"/>
    <mergeCell ref="T37:T38"/>
    <mergeCell ref="T26:T27"/>
    <mergeCell ref="O20:O21"/>
    <mergeCell ref="P20:P21"/>
    <mergeCell ref="Q20:Q21"/>
    <mergeCell ref="T20:T21"/>
    <mergeCell ref="I18:I19"/>
    <mergeCell ref="I32:K32"/>
    <mergeCell ref="M6:M29"/>
    <mergeCell ref="N6:N7"/>
    <mergeCell ref="I20:I21"/>
    <mergeCell ref="I10:I11"/>
    <mergeCell ref="I12:I13"/>
    <mergeCell ref="I47:I48"/>
    <mergeCell ref="I43:I44"/>
    <mergeCell ref="I51:I52"/>
    <mergeCell ref="M31:M32"/>
    <mergeCell ref="N31:N32"/>
    <mergeCell ref="T49:T50"/>
    <mergeCell ref="I16:I17"/>
    <mergeCell ref="I6:I7"/>
    <mergeCell ref="I49:I50"/>
    <mergeCell ref="U49:U50"/>
    <mergeCell ref="T47:T48"/>
    <mergeCell ref="U47:U48"/>
    <mergeCell ref="N45:N46"/>
    <mergeCell ref="O45:O46"/>
    <mergeCell ref="U55:U56"/>
    <mergeCell ref="N53:N54"/>
    <mergeCell ref="O53:O54"/>
    <mergeCell ref="P53:P54"/>
    <mergeCell ref="Q53:Q54"/>
    <mergeCell ref="T53:T54"/>
    <mergeCell ref="U53:U54"/>
    <mergeCell ref="N51:N52"/>
    <mergeCell ref="O51:O52"/>
    <mergeCell ref="P51:P52"/>
    <mergeCell ref="Q51:Q52"/>
    <mergeCell ref="T51:T52"/>
    <mergeCell ref="U51:U52"/>
    <mergeCell ref="T55:T56"/>
    <mergeCell ref="U45:U46"/>
    <mergeCell ref="O55:O56"/>
    <mergeCell ref="P55:P56"/>
    <mergeCell ref="N47:N48"/>
    <mergeCell ref="O47:O48"/>
    <mergeCell ref="U41:U42"/>
    <mergeCell ref="T43:T44"/>
    <mergeCell ref="U43:U44"/>
    <mergeCell ref="N41:N42"/>
    <mergeCell ref="O41:O42"/>
    <mergeCell ref="P41:P42"/>
    <mergeCell ref="Q41:Q42"/>
    <mergeCell ref="T41:T42"/>
    <mergeCell ref="U37:U38"/>
    <mergeCell ref="N39:N40"/>
    <mergeCell ref="O39:O40"/>
    <mergeCell ref="P39:P40"/>
    <mergeCell ref="Q39:Q40"/>
    <mergeCell ref="T39:T40"/>
    <mergeCell ref="U39:U40"/>
    <mergeCell ref="N37:N38"/>
    <mergeCell ref="O37:O38"/>
    <mergeCell ref="P37:P38"/>
    <mergeCell ref="Q37:Q38"/>
    <mergeCell ref="N43:N44"/>
    <mergeCell ref="O43:O44"/>
    <mergeCell ref="P43:P44"/>
    <mergeCell ref="Q43:Q44"/>
    <mergeCell ref="U33:U34"/>
    <mergeCell ref="N35:N36"/>
    <mergeCell ref="O35:O36"/>
    <mergeCell ref="P35:P36"/>
    <mergeCell ref="Q35:Q36"/>
    <mergeCell ref="T35:T36"/>
    <mergeCell ref="U35:U36"/>
    <mergeCell ref="N33:N34"/>
    <mergeCell ref="O33:O34"/>
    <mergeCell ref="P33:P34"/>
    <mergeCell ref="Q33:Q34"/>
    <mergeCell ref="T33:T34"/>
    <mergeCell ref="U31:W31"/>
    <mergeCell ref="Q32:S32"/>
    <mergeCell ref="U32:W32"/>
    <mergeCell ref="P30:S30"/>
    <mergeCell ref="T30:W30"/>
    <mergeCell ref="N28:N29"/>
    <mergeCell ref="O28:O29"/>
    <mergeCell ref="P28:P29"/>
    <mergeCell ref="T28:T29"/>
    <mergeCell ref="U28:U29"/>
    <mergeCell ref="Q31:S31"/>
    <mergeCell ref="U26:U27"/>
    <mergeCell ref="N24:N25"/>
    <mergeCell ref="O24:O25"/>
    <mergeCell ref="P24:P25"/>
    <mergeCell ref="Q24:Q25"/>
    <mergeCell ref="T24:T25"/>
    <mergeCell ref="U24:U25"/>
    <mergeCell ref="N22:N23"/>
    <mergeCell ref="O22:O23"/>
    <mergeCell ref="P22:P23"/>
    <mergeCell ref="Q22:Q23"/>
    <mergeCell ref="T22:T23"/>
    <mergeCell ref="U22:U23"/>
    <mergeCell ref="N26:N27"/>
    <mergeCell ref="O26:O27"/>
    <mergeCell ref="P26:P27"/>
    <mergeCell ref="Q26:Q27"/>
    <mergeCell ref="U20:U21"/>
    <mergeCell ref="U10:U11"/>
    <mergeCell ref="N12:N13"/>
    <mergeCell ref="O12:O13"/>
    <mergeCell ref="P12:P13"/>
    <mergeCell ref="Q12:Q13"/>
    <mergeCell ref="T12:T13"/>
    <mergeCell ref="U12:U13"/>
    <mergeCell ref="N18:N19"/>
    <mergeCell ref="O18:O19"/>
    <mergeCell ref="P18:P19"/>
    <mergeCell ref="Q18:Q19"/>
    <mergeCell ref="T18:T19"/>
    <mergeCell ref="U18:U19"/>
    <mergeCell ref="N16:N17"/>
    <mergeCell ref="O16:O17"/>
    <mergeCell ref="P16:P17"/>
    <mergeCell ref="Q16:Q17"/>
    <mergeCell ref="T16:T17"/>
    <mergeCell ref="U16:U17"/>
    <mergeCell ref="N20:N21"/>
    <mergeCell ref="N10:N11"/>
    <mergeCell ref="P14:P15"/>
    <mergeCell ref="Q14:Q15"/>
    <mergeCell ref="C10:C11"/>
    <mergeCell ref="D10:D11"/>
    <mergeCell ref="E10:E11"/>
    <mergeCell ref="C14:C15"/>
    <mergeCell ref="D14:D15"/>
    <mergeCell ref="E14:E15"/>
    <mergeCell ref="H14:H15"/>
    <mergeCell ref="H10:H11"/>
    <mergeCell ref="C20:C21"/>
    <mergeCell ref="D20:D21"/>
    <mergeCell ref="T3:W3"/>
    <mergeCell ref="U4:W4"/>
    <mergeCell ref="T14:T15"/>
    <mergeCell ref="U5:W5"/>
    <mergeCell ref="U6:U7"/>
    <mergeCell ref="T8:T9"/>
    <mergeCell ref="U8:U9"/>
    <mergeCell ref="U14:U15"/>
    <mergeCell ref="T10:T11"/>
    <mergeCell ref="H3:K3"/>
    <mergeCell ref="D3:G3"/>
    <mergeCell ref="P3:S3"/>
    <mergeCell ref="Q4:S4"/>
    <mergeCell ref="Q5:S5"/>
    <mergeCell ref="E4:G4"/>
    <mergeCell ref="I4:K4"/>
    <mergeCell ref="E5:G5"/>
    <mergeCell ref="I5:K5"/>
    <mergeCell ref="M4:M5"/>
    <mergeCell ref="N4:N5"/>
    <mergeCell ref="C8:C9"/>
    <mergeCell ref="D8:D9"/>
    <mergeCell ref="E8:E9"/>
    <mergeCell ref="H8:H9"/>
    <mergeCell ref="I8:I9"/>
    <mergeCell ref="C6:C7"/>
    <mergeCell ref="D6:D7"/>
    <mergeCell ref="E6:E7"/>
    <mergeCell ref="H6:H7"/>
    <mergeCell ref="A4:A5"/>
    <mergeCell ref="B4:B5"/>
    <mergeCell ref="C45:C46"/>
    <mergeCell ref="D45:D46"/>
    <mergeCell ref="E45:E46"/>
    <mergeCell ref="C16:C17"/>
    <mergeCell ref="D16:D17"/>
    <mergeCell ref="E16:E17"/>
    <mergeCell ref="H16:H17"/>
    <mergeCell ref="E28:E29"/>
    <mergeCell ref="B39:B40"/>
    <mergeCell ref="B8:B9"/>
    <mergeCell ref="A6:A29"/>
    <mergeCell ref="B6:B7"/>
    <mergeCell ref="B14:B15"/>
    <mergeCell ref="B26:B27"/>
    <mergeCell ref="B24:B25"/>
    <mergeCell ref="B22:B23"/>
    <mergeCell ref="B20:B21"/>
    <mergeCell ref="B10:B11"/>
    <mergeCell ref="B28:B29"/>
    <mergeCell ref="B12:B13"/>
    <mergeCell ref="B18:B19"/>
    <mergeCell ref="B16:B17"/>
    <mergeCell ref="C33:C34"/>
    <mergeCell ref="D33:D34"/>
    <mergeCell ref="E33:E34"/>
    <mergeCell ref="H33:H34"/>
    <mergeCell ref="I33:I34"/>
    <mergeCell ref="E39:E40"/>
    <mergeCell ref="H39:H40"/>
    <mergeCell ref="I39:I40"/>
    <mergeCell ref="C35:C36"/>
    <mergeCell ref="I35:I36"/>
    <mergeCell ref="D35:D36"/>
    <mergeCell ref="E35:E36"/>
    <mergeCell ref="H35:H36"/>
    <mergeCell ref="C41:C42"/>
    <mergeCell ref="D41:D42"/>
    <mergeCell ref="E41:E42"/>
    <mergeCell ref="C39:C40"/>
    <mergeCell ref="D39:D40"/>
    <mergeCell ref="B72:B73"/>
    <mergeCell ref="B74:B75"/>
    <mergeCell ref="D64:D65"/>
    <mergeCell ref="C37:C38"/>
    <mergeCell ref="C55:C56"/>
    <mergeCell ref="C43:C44"/>
    <mergeCell ref="D68:D69"/>
    <mergeCell ref="C60:C61"/>
    <mergeCell ref="C49:C50"/>
    <mergeCell ref="C51:C52"/>
    <mergeCell ref="C53:C54"/>
    <mergeCell ref="E53:E54"/>
    <mergeCell ref="B41:B42"/>
    <mergeCell ref="B58:B59"/>
    <mergeCell ref="D62:D63"/>
    <mergeCell ref="D70:D71"/>
    <mergeCell ref="E70:E71"/>
    <mergeCell ref="D72:D73"/>
    <mergeCell ref="E72:E73"/>
    <mergeCell ref="H68:H69"/>
    <mergeCell ref="I68:I69"/>
    <mergeCell ref="D37:D38"/>
    <mergeCell ref="E37:E38"/>
    <mergeCell ref="H37:H38"/>
    <mergeCell ref="I37:I38"/>
    <mergeCell ref="D55:D56"/>
    <mergeCell ref="H55:H56"/>
    <mergeCell ref="H41:H42"/>
    <mergeCell ref="I41:I42"/>
    <mergeCell ref="I60:I61"/>
    <mergeCell ref="H62:H63"/>
    <mergeCell ref="I62:I63"/>
    <mergeCell ref="H64:H65"/>
    <mergeCell ref="I58:K58"/>
    <mergeCell ref="I45:I46"/>
    <mergeCell ref="H57:K57"/>
    <mergeCell ref="H43:H44"/>
    <mergeCell ref="I66:I67"/>
    <mergeCell ref="E62:E63"/>
    <mergeCell ref="E58:G58"/>
    <mergeCell ref="E59:G59"/>
    <mergeCell ref="D60:D61"/>
    <mergeCell ref="E60:E61"/>
    <mergeCell ref="I64:I65"/>
    <mergeCell ref="H66:H67"/>
    <mergeCell ref="D43:D44"/>
    <mergeCell ref="E43:E44"/>
    <mergeCell ref="I59:K59"/>
    <mergeCell ref="D57:G57"/>
    <mergeCell ref="H60:H61"/>
    <mergeCell ref="D47:D48"/>
    <mergeCell ref="D49:D50"/>
    <mergeCell ref="E49:E50"/>
    <mergeCell ref="H49:H50"/>
    <mergeCell ref="D51:D52"/>
    <mergeCell ref="E51:E52"/>
    <mergeCell ref="H51:H52"/>
    <mergeCell ref="D53:D54"/>
    <mergeCell ref="H53:H54"/>
    <mergeCell ref="D82:D83"/>
    <mergeCell ref="D76:D77"/>
    <mergeCell ref="E76:E77"/>
    <mergeCell ref="I78:I79"/>
    <mergeCell ref="H80:H81"/>
    <mergeCell ref="I80:I81"/>
    <mergeCell ref="H82:H83"/>
    <mergeCell ref="I70:I71"/>
    <mergeCell ref="H72:H73"/>
    <mergeCell ref="I72:I73"/>
    <mergeCell ref="H74:H75"/>
    <mergeCell ref="I74:I75"/>
    <mergeCell ref="H76:H77"/>
    <mergeCell ref="I76:I77"/>
    <mergeCell ref="H78:H79"/>
    <mergeCell ref="H70:H71"/>
    <mergeCell ref="I82:I83"/>
    <mergeCell ref="D80:D81"/>
    <mergeCell ref="B82:B83"/>
    <mergeCell ref="A60:A83"/>
    <mergeCell ref="B55:B56"/>
    <mergeCell ref="B51:B52"/>
    <mergeCell ref="B49:B50"/>
    <mergeCell ref="D78:D79"/>
    <mergeCell ref="E78:E79"/>
    <mergeCell ref="D74:D75"/>
    <mergeCell ref="E74:E75"/>
    <mergeCell ref="E82:E83"/>
    <mergeCell ref="B80:B81"/>
    <mergeCell ref="C62:C63"/>
    <mergeCell ref="C64:C65"/>
    <mergeCell ref="C66:C67"/>
    <mergeCell ref="E64:E65"/>
    <mergeCell ref="D66:D67"/>
    <mergeCell ref="E66:E67"/>
    <mergeCell ref="E68:E69"/>
    <mergeCell ref="C80:C81"/>
    <mergeCell ref="C82:C83"/>
    <mergeCell ref="C68:C69"/>
    <mergeCell ref="C70:C71"/>
    <mergeCell ref="C72:C73"/>
    <mergeCell ref="E80:E81"/>
    <mergeCell ref="V1:W1"/>
    <mergeCell ref="B35:B36"/>
    <mergeCell ref="B53:B54"/>
    <mergeCell ref="B45:B46"/>
    <mergeCell ref="B43:B44"/>
    <mergeCell ref="B76:B77"/>
    <mergeCell ref="B78:B79"/>
    <mergeCell ref="A33:A56"/>
    <mergeCell ref="B33:B34"/>
    <mergeCell ref="B60:B61"/>
    <mergeCell ref="B62:B63"/>
    <mergeCell ref="B64:B65"/>
    <mergeCell ref="B66:B67"/>
    <mergeCell ref="B68:B69"/>
    <mergeCell ref="B70:B71"/>
    <mergeCell ref="B47:B48"/>
    <mergeCell ref="B37:B38"/>
    <mergeCell ref="A58:A59"/>
    <mergeCell ref="C47:C48"/>
    <mergeCell ref="E47:E48"/>
    <mergeCell ref="H47:H48"/>
    <mergeCell ref="C78:C79"/>
    <mergeCell ref="C74:C75"/>
    <mergeCell ref="C76:C77"/>
  </mergeCells>
  <phoneticPr fontId="3"/>
  <printOptions horizontalCentered="1"/>
  <pageMargins left="0.23622047244094491" right="0.23622047244094491" top="1.3385826771653544" bottom="0.74803149606299213" header="0.51181102362204722" footer="0.31496062992125984"/>
  <pageSetup paperSize="9" scale="58" orientation="portrait" r:id="rId1"/>
  <ignoredErrors>
    <ignoredError sqref="D6:G104 H6:K83 P6:W7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3"/>
  <sheetViews>
    <sheetView zoomScale="70" zoomScaleNormal="70" zoomScalePageLayoutView="70" workbookViewId="0">
      <selection activeCell="X1" sqref="X1"/>
    </sheetView>
  </sheetViews>
  <sheetFormatPr defaultColWidth="8.875" defaultRowHeight="15" customHeight="1"/>
  <cols>
    <col min="1" max="1" width="8.875" style="140" customWidth="1"/>
    <col min="2" max="2" width="12" style="140" customWidth="1"/>
    <col min="3" max="3" width="9.75" style="285" customWidth="1"/>
    <col min="4" max="5" width="10.375" style="140" customWidth="1"/>
    <col min="6" max="6" width="10.375" style="116" customWidth="1"/>
    <col min="7" max="7" width="7.125" style="140" customWidth="1"/>
    <col min="8" max="8" width="7.125" style="81" customWidth="1"/>
    <col min="9" max="9" width="15.75" style="116" customWidth="1"/>
    <col min="10" max="10" width="11.5" style="81" customWidth="1"/>
    <col min="11" max="11" width="11.5" style="140" customWidth="1"/>
    <col min="12" max="12" width="2" style="140" customWidth="1"/>
    <col min="13" max="13" width="8.875" style="140" customWidth="1"/>
    <col min="14" max="14" width="11.875" style="140" customWidth="1"/>
    <col min="15" max="15" width="8.75" style="140" customWidth="1"/>
    <col min="16" max="18" width="10.375" style="140" customWidth="1"/>
    <col min="19" max="20" width="7.125" style="140" customWidth="1"/>
    <col min="21" max="21" width="15.625" style="140" customWidth="1"/>
    <col min="22" max="22" width="10.875" style="140" customWidth="1"/>
    <col min="23" max="23" width="11" style="140" customWidth="1"/>
    <col min="24" max="16384" width="8.875" style="140"/>
  </cols>
  <sheetData>
    <row r="1" spans="1:23" s="284" customFormat="1" ht="23.25" customHeight="1">
      <c r="A1" s="283" t="s">
        <v>614</v>
      </c>
      <c r="C1" s="285"/>
      <c r="F1" s="116"/>
      <c r="H1" s="81"/>
      <c r="I1" s="116"/>
      <c r="W1" s="286"/>
    </row>
    <row r="2" spans="1:23" s="284" customFormat="1" ht="12.75" customHeight="1">
      <c r="C2" s="285"/>
      <c r="F2" s="116"/>
      <c r="H2" s="81"/>
      <c r="I2" s="116"/>
      <c r="J2" s="81"/>
    </row>
    <row r="3" spans="1:23" s="288" customFormat="1" ht="19.149999999999999" customHeight="1">
      <c r="A3" s="540" t="s">
        <v>593</v>
      </c>
      <c r="B3" s="547" t="s">
        <v>521</v>
      </c>
      <c r="C3" s="540" t="s">
        <v>522</v>
      </c>
      <c r="D3" s="249" t="s">
        <v>88</v>
      </c>
      <c r="E3" s="233" t="s">
        <v>28</v>
      </c>
      <c r="F3" s="287" t="s">
        <v>58</v>
      </c>
      <c r="G3" s="547" t="s">
        <v>13</v>
      </c>
      <c r="H3" s="547"/>
      <c r="I3" s="287" t="s">
        <v>63</v>
      </c>
      <c r="J3" s="556" t="s">
        <v>608</v>
      </c>
      <c r="K3" s="557"/>
      <c r="M3" s="540" t="s">
        <v>594</v>
      </c>
      <c r="N3" s="547" t="s">
        <v>521</v>
      </c>
      <c r="O3" s="540" t="s">
        <v>522</v>
      </c>
      <c r="P3" s="249" t="s">
        <v>88</v>
      </c>
      <c r="Q3" s="233" t="s">
        <v>28</v>
      </c>
      <c r="R3" s="287" t="s">
        <v>58</v>
      </c>
      <c r="S3" s="547" t="s">
        <v>13</v>
      </c>
      <c r="T3" s="547"/>
      <c r="U3" s="287" t="s">
        <v>63</v>
      </c>
      <c r="V3" s="556" t="s">
        <v>604</v>
      </c>
      <c r="W3" s="557"/>
    </row>
    <row r="4" spans="1:23" s="288" customFormat="1" ht="15" customHeight="1">
      <c r="A4" s="541"/>
      <c r="B4" s="548"/>
      <c r="C4" s="541"/>
      <c r="D4" s="164" t="s">
        <v>108</v>
      </c>
      <c r="E4" s="248" t="s">
        <v>562</v>
      </c>
      <c r="F4" s="289" t="s">
        <v>59</v>
      </c>
      <c r="G4" s="548" t="s">
        <v>61</v>
      </c>
      <c r="H4" s="548"/>
      <c r="I4" s="289" t="s">
        <v>64</v>
      </c>
      <c r="J4" s="558" t="s">
        <v>109</v>
      </c>
      <c r="K4" s="559"/>
      <c r="M4" s="541"/>
      <c r="N4" s="548"/>
      <c r="O4" s="541"/>
      <c r="P4" s="164" t="s">
        <v>108</v>
      </c>
      <c r="Q4" s="248" t="s">
        <v>386</v>
      </c>
      <c r="R4" s="289" t="s">
        <v>59</v>
      </c>
      <c r="S4" s="548" t="s">
        <v>61</v>
      </c>
      <c r="T4" s="548"/>
      <c r="U4" s="289" t="s">
        <v>64</v>
      </c>
      <c r="V4" s="558" t="s">
        <v>109</v>
      </c>
      <c r="W4" s="559"/>
    </row>
    <row r="5" spans="1:23" s="288" customFormat="1" ht="24" customHeight="1">
      <c r="A5" s="542"/>
      <c r="B5" s="549"/>
      <c r="C5" s="542"/>
      <c r="D5" s="251" t="s">
        <v>57</v>
      </c>
      <c r="E5" s="234" t="s">
        <v>60</v>
      </c>
      <c r="F5" s="290" t="s">
        <v>62</v>
      </c>
      <c r="G5" s="549" t="s">
        <v>70</v>
      </c>
      <c r="H5" s="549"/>
      <c r="I5" s="290" t="s">
        <v>75</v>
      </c>
      <c r="J5" s="560" t="s">
        <v>615</v>
      </c>
      <c r="K5" s="561"/>
      <c r="M5" s="542"/>
      <c r="N5" s="549"/>
      <c r="O5" s="542"/>
      <c r="P5" s="251" t="s">
        <v>57</v>
      </c>
      <c r="Q5" s="234" t="s">
        <v>60</v>
      </c>
      <c r="R5" s="290" t="s">
        <v>62</v>
      </c>
      <c r="S5" s="549" t="s">
        <v>70</v>
      </c>
      <c r="T5" s="549"/>
      <c r="U5" s="290" t="s">
        <v>75</v>
      </c>
      <c r="V5" s="560" t="s">
        <v>615</v>
      </c>
      <c r="W5" s="561"/>
    </row>
    <row r="6" spans="1:23" s="288" customFormat="1" ht="28.5" customHeight="1">
      <c r="A6" s="550" t="s">
        <v>311</v>
      </c>
      <c r="B6" s="551"/>
      <c r="C6" s="552"/>
      <c r="D6" s="248" t="s">
        <v>867</v>
      </c>
      <c r="E6" s="248" t="s">
        <v>867</v>
      </c>
      <c r="F6" s="291" t="s">
        <v>870</v>
      </c>
      <c r="G6" s="579" t="s">
        <v>869</v>
      </c>
      <c r="H6" s="580"/>
      <c r="I6" s="291" t="s">
        <v>868</v>
      </c>
      <c r="J6" s="545" t="s">
        <v>616</v>
      </c>
      <c r="K6" s="546"/>
      <c r="M6" s="550" t="s">
        <v>311</v>
      </c>
      <c r="N6" s="551"/>
      <c r="O6" s="552"/>
      <c r="P6" s="248" t="s">
        <v>867</v>
      </c>
      <c r="Q6" s="248" t="s">
        <v>867</v>
      </c>
      <c r="R6" s="291" t="s">
        <v>870</v>
      </c>
      <c r="S6" s="579" t="s">
        <v>869</v>
      </c>
      <c r="T6" s="580"/>
      <c r="U6" s="291" t="s">
        <v>868</v>
      </c>
      <c r="V6" s="545" t="s">
        <v>616</v>
      </c>
      <c r="W6" s="546"/>
    </row>
    <row r="7" spans="1:23" ht="15" customHeight="1">
      <c r="A7" s="540" t="s">
        <v>305</v>
      </c>
      <c r="B7" s="567" t="s">
        <v>891</v>
      </c>
      <c r="C7" s="540" t="s">
        <v>244</v>
      </c>
      <c r="D7" s="553">
        <f>'ｼｰﾄNO.3（表-3）59頁'!F32</f>
        <v>11</v>
      </c>
      <c r="E7" s="553">
        <f>'ｼｰﾄNO.3（表-3）59頁'!$F$30</f>
        <v>9</v>
      </c>
      <c r="F7" s="543">
        <f>IF(('ｼｰﾄNO.4（表-4）60頁'!D6-'ｼｰﾄNO.4（表-4）60頁'!H6)/60&gt;0,('ｼｰﾄNO.4（表-4）60頁'!D6-'ｼｰﾄNO.4（表-4）60頁'!H6)/60,0)</f>
        <v>1.6666666666666666E-2</v>
      </c>
      <c r="G7" s="63" t="s">
        <v>65</v>
      </c>
      <c r="H7" s="292">
        <f>'ｼｰﾄNO.4（表-4）60頁'!G60</f>
        <v>775.19999999999993</v>
      </c>
      <c r="I7" s="325">
        <v>40.1</v>
      </c>
      <c r="J7" s="99">
        <f>D7*E7*F7*H7*I7</f>
        <v>51291.108</v>
      </c>
      <c r="K7" s="553">
        <f>SUM(J7:J30)</f>
        <v>772293.93119999999</v>
      </c>
      <c r="M7" s="570" t="s">
        <v>306</v>
      </c>
      <c r="N7" s="570" t="s">
        <v>892</v>
      </c>
      <c r="O7" s="540" t="s">
        <v>263</v>
      </c>
      <c r="P7" s="553">
        <f>'ｼｰﾄNO.3（表-3）59頁'!F35</f>
        <v>16</v>
      </c>
      <c r="Q7" s="553">
        <f>'ｼｰﾄNO.3（表-3）59頁'!$F$30</f>
        <v>9</v>
      </c>
      <c r="R7" s="543">
        <f>IF(('ｼｰﾄNO.4（表-4）60頁'!D6-'ｼｰﾄNO.4（表-4）60頁'!H6)/60&gt;0,('ｼｰﾄNO.4（表-4）60頁'!D6-'ｼｰﾄNO.4（表-4）60頁'!H6)/60,0)</f>
        <v>1.6666666666666666E-2</v>
      </c>
      <c r="S7" s="63" t="s">
        <v>65</v>
      </c>
      <c r="T7" s="294">
        <f>'ｼｰﾄNO.4（表-4）60頁'!G60</f>
        <v>775.19999999999993</v>
      </c>
      <c r="U7" s="325">
        <v>40.1</v>
      </c>
      <c r="V7" s="99">
        <f>P7*Q7*R7*T7*U7</f>
        <v>74605.247999999992</v>
      </c>
      <c r="W7" s="553">
        <f>SUM(V7:V30)</f>
        <v>1123336.6272000002</v>
      </c>
    </row>
    <row r="8" spans="1:23" ht="15" customHeight="1">
      <c r="A8" s="541"/>
      <c r="B8" s="568"/>
      <c r="C8" s="542"/>
      <c r="D8" s="554"/>
      <c r="E8" s="565"/>
      <c r="F8" s="544"/>
      <c r="G8" s="64" t="s">
        <v>66</v>
      </c>
      <c r="H8" s="295">
        <f>'ｼｰﾄNO.4（表-4）60頁'!G61</f>
        <v>40.800000000000004</v>
      </c>
      <c r="I8" s="326">
        <v>64.180000000000007</v>
      </c>
      <c r="J8" s="221">
        <f>D7*E7*F7*H8*I8</f>
        <v>4320.597600000001</v>
      </c>
      <c r="K8" s="554"/>
      <c r="M8" s="571"/>
      <c r="N8" s="571"/>
      <c r="O8" s="542"/>
      <c r="P8" s="554"/>
      <c r="Q8" s="565"/>
      <c r="R8" s="544"/>
      <c r="S8" s="64" t="s">
        <v>66</v>
      </c>
      <c r="T8" s="297">
        <f>'ｼｰﾄNO.4（表-4）60頁'!G61</f>
        <v>40.800000000000004</v>
      </c>
      <c r="U8" s="326">
        <v>64.180000000000007</v>
      </c>
      <c r="V8" s="221">
        <f>P7*Q7*R7*T8*U8</f>
        <v>6284.5056000000004</v>
      </c>
      <c r="W8" s="554"/>
    </row>
    <row r="9" spans="1:23" ht="15" customHeight="1">
      <c r="A9" s="541"/>
      <c r="B9" s="568"/>
      <c r="C9" s="540" t="s">
        <v>245</v>
      </c>
      <c r="D9" s="554"/>
      <c r="E9" s="565"/>
      <c r="F9" s="543">
        <f>IF(('ｼｰﾄNO.4（表-4）60頁'!D8-'ｼｰﾄNO.4（表-4）60頁'!H8)/60&gt;0,('ｼｰﾄNO.4（表-4）60頁'!D8-'ｼｰﾄNO.4（表-4）60頁'!H8)/60,0)</f>
        <v>0</v>
      </c>
      <c r="G9" s="63" t="s">
        <v>65</v>
      </c>
      <c r="H9" s="294">
        <f>'ｼｰﾄNO.4（表-4）60頁'!G62</f>
        <v>148.19999999999999</v>
      </c>
      <c r="I9" s="325">
        <v>40.1</v>
      </c>
      <c r="J9" s="99">
        <f>D7*E7*F9*H9*I9</f>
        <v>0</v>
      </c>
      <c r="K9" s="554"/>
      <c r="M9" s="571"/>
      <c r="N9" s="571"/>
      <c r="O9" s="540" t="s">
        <v>239</v>
      </c>
      <c r="P9" s="554"/>
      <c r="Q9" s="565"/>
      <c r="R9" s="543">
        <f>IF(('ｼｰﾄNO.4（表-4）60頁'!D8-'ｼｰﾄNO.4（表-4）60頁'!H8)/60&gt;0,('ｼｰﾄNO.4（表-4）60頁'!D8-'ｼｰﾄNO.4（表-4）60頁'!H8)/60,0)</f>
        <v>0</v>
      </c>
      <c r="S9" s="63" t="s">
        <v>172</v>
      </c>
      <c r="T9" s="294">
        <f>'ｼｰﾄNO.4（表-4）60頁'!G62</f>
        <v>148.19999999999999</v>
      </c>
      <c r="U9" s="325">
        <v>40.1</v>
      </c>
      <c r="V9" s="99">
        <f>P7*Q7*R9*T9*U9</f>
        <v>0</v>
      </c>
      <c r="W9" s="554"/>
    </row>
    <row r="10" spans="1:23" ht="15" customHeight="1">
      <c r="A10" s="541"/>
      <c r="B10" s="568"/>
      <c r="C10" s="542"/>
      <c r="D10" s="554"/>
      <c r="E10" s="565"/>
      <c r="F10" s="544"/>
      <c r="G10" s="64" t="s">
        <v>66</v>
      </c>
      <c r="H10" s="298">
        <f>'ｼｰﾄNO.4（表-4）60頁'!G63</f>
        <v>7.8000000000000007</v>
      </c>
      <c r="I10" s="326">
        <v>64.180000000000007</v>
      </c>
      <c r="J10" s="221">
        <f>D7*E7*F9*H10*I10</f>
        <v>0</v>
      </c>
      <c r="K10" s="554"/>
      <c r="M10" s="571"/>
      <c r="N10" s="571"/>
      <c r="O10" s="542"/>
      <c r="P10" s="554"/>
      <c r="Q10" s="565"/>
      <c r="R10" s="544"/>
      <c r="S10" s="64" t="s">
        <v>173</v>
      </c>
      <c r="T10" s="297">
        <f>'ｼｰﾄNO.4（表-4）60頁'!G63</f>
        <v>7.8000000000000007</v>
      </c>
      <c r="U10" s="326">
        <v>64.180000000000007</v>
      </c>
      <c r="V10" s="221">
        <f>P7*Q7*R9*T10*U10</f>
        <v>0</v>
      </c>
      <c r="W10" s="554"/>
    </row>
    <row r="11" spans="1:23" ht="15" customHeight="1">
      <c r="A11" s="541"/>
      <c r="B11" s="568"/>
      <c r="C11" s="540" t="s">
        <v>246</v>
      </c>
      <c r="D11" s="554"/>
      <c r="E11" s="565"/>
      <c r="F11" s="543">
        <f>IF(('ｼｰﾄNO.4（表-4）60頁'!D10-'ｼｰﾄNO.4（表-4）60頁'!H10)/60&gt;0,('ｼｰﾄNO.4（表-4）60頁'!D10-'ｼｰﾄNO.4（表-4）60頁'!H10)/60,0)</f>
        <v>8.3333333333333329E-2</v>
      </c>
      <c r="G11" s="63" t="s">
        <v>65</v>
      </c>
      <c r="H11" s="292">
        <f>'ｼｰﾄNO.4（表-4）60頁'!G64</f>
        <v>38.949999999999996</v>
      </c>
      <c r="I11" s="325">
        <v>40.1</v>
      </c>
      <c r="J11" s="99">
        <f>D7*E7*F11*H11*I11</f>
        <v>12885.633749999999</v>
      </c>
      <c r="K11" s="554"/>
      <c r="M11" s="571"/>
      <c r="N11" s="571"/>
      <c r="O11" s="540" t="s">
        <v>264</v>
      </c>
      <c r="P11" s="554"/>
      <c r="Q11" s="565"/>
      <c r="R11" s="543">
        <f>IF(('ｼｰﾄNO.4（表-4）60頁'!D10-'ｼｰﾄNO.4（表-4）60頁'!H10)/60&gt;0,('ｼｰﾄNO.4（表-4）60頁'!D10-'ｼｰﾄNO.4（表-4）60頁'!H10)/60,0)</f>
        <v>8.3333333333333329E-2</v>
      </c>
      <c r="S11" s="63" t="s">
        <v>172</v>
      </c>
      <c r="T11" s="294">
        <f>'ｼｰﾄNO.4（表-4）60頁'!G64</f>
        <v>38.949999999999996</v>
      </c>
      <c r="U11" s="325">
        <v>40.1</v>
      </c>
      <c r="V11" s="99">
        <f>P7*Q7*R11*T11*U11</f>
        <v>18742.739999999998</v>
      </c>
      <c r="W11" s="554"/>
    </row>
    <row r="12" spans="1:23" ht="15" customHeight="1">
      <c r="A12" s="541"/>
      <c r="B12" s="568"/>
      <c r="C12" s="542"/>
      <c r="D12" s="554"/>
      <c r="E12" s="565"/>
      <c r="F12" s="544"/>
      <c r="G12" s="64" t="s">
        <v>66</v>
      </c>
      <c r="H12" s="295">
        <f>'ｼｰﾄNO.4（表-4）60頁'!G65</f>
        <v>2.0500000000000003</v>
      </c>
      <c r="I12" s="326">
        <v>64.180000000000007</v>
      </c>
      <c r="J12" s="221">
        <f>D7*E7*F11*H12*I12</f>
        <v>1085.4442500000002</v>
      </c>
      <c r="K12" s="554"/>
      <c r="M12" s="571"/>
      <c r="N12" s="571"/>
      <c r="O12" s="542"/>
      <c r="P12" s="554"/>
      <c r="Q12" s="565"/>
      <c r="R12" s="544"/>
      <c r="S12" s="64" t="s">
        <v>173</v>
      </c>
      <c r="T12" s="297">
        <f>'ｼｰﾄNO.4（表-4）60頁'!G65</f>
        <v>2.0500000000000003</v>
      </c>
      <c r="U12" s="326">
        <v>64.180000000000007</v>
      </c>
      <c r="V12" s="221">
        <f>P7*Q7*R11*T12*U12</f>
        <v>1578.8280000000002</v>
      </c>
      <c r="W12" s="554"/>
    </row>
    <row r="13" spans="1:23" ht="15" customHeight="1">
      <c r="A13" s="541"/>
      <c r="B13" s="568"/>
      <c r="C13" s="540" t="s">
        <v>231</v>
      </c>
      <c r="D13" s="554"/>
      <c r="E13" s="565"/>
      <c r="F13" s="543">
        <f>IF(('ｼｰﾄNO.4（表-4）60頁'!D12-'ｼｰﾄNO.4（表-4）60頁'!H12)/60&gt;0,('ｼｰﾄNO.4（表-4）60頁'!D12-'ｼｰﾄNO.4（表-4）60頁'!H12)/60,0)</f>
        <v>0.11666666666666667</v>
      </c>
      <c r="G13" s="63" t="s">
        <v>65</v>
      </c>
      <c r="H13" s="294">
        <f>'ｼｰﾄNO.4（表-4）60頁'!G66</f>
        <v>755.25</v>
      </c>
      <c r="I13" s="325">
        <v>40.1</v>
      </c>
      <c r="J13" s="99">
        <f>D7*E7*F13*H13*I13</f>
        <v>349797.81375000003</v>
      </c>
      <c r="K13" s="554"/>
      <c r="M13" s="571"/>
      <c r="N13" s="571"/>
      <c r="O13" s="540" t="s">
        <v>240</v>
      </c>
      <c r="P13" s="554"/>
      <c r="Q13" s="565"/>
      <c r="R13" s="543">
        <f>IF(('ｼｰﾄNO.4（表-4）60頁'!D12-'ｼｰﾄNO.4（表-4）60頁'!H12)/60&gt;0,('ｼｰﾄNO.4（表-4）60頁'!D12-'ｼｰﾄNO.4（表-4）60頁'!H12)/60,0)</f>
        <v>0.11666666666666667</v>
      </c>
      <c r="S13" s="63" t="s">
        <v>172</v>
      </c>
      <c r="T13" s="294">
        <f>'ｼｰﾄNO.4（表-4）60頁'!G66</f>
        <v>755.25</v>
      </c>
      <c r="U13" s="325">
        <v>40.1</v>
      </c>
      <c r="V13" s="99">
        <f>P7*Q7*R13*T13*U13</f>
        <v>508796.82000000007</v>
      </c>
      <c r="W13" s="554"/>
    </row>
    <row r="14" spans="1:23" ht="15" customHeight="1">
      <c r="A14" s="541"/>
      <c r="B14" s="568"/>
      <c r="C14" s="542"/>
      <c r="D14" s="554"/>
      <c r="E14" s="565"/>
      <c r="F14" s="544"/>
      <c r="G14" s="64" t="s">
        <v>66</v>
      </c>
      <c r="H14" s="298">
        <f>'ｼｰﾄNO.4（表-4）60頁'!G67</f>
        <v>39.75</v>
      </c>
      <c r="I14" s="326">
        <v>64.180000000000007</v>
      </c>
      <c r="J14" s="221">
        <f>D7*E7*F13*H14*I14</f>
        <v>29465.840250000005</v>
      </c>
      <c r="K14" s="554"/>
      <c r="M14" s="571"/>
      <c r="N14" s="571"/>
      <c r="O14" s="542"/>
      <c r="P14" s="554"/>
      <c r="Q14" s="565"/>
      <c r="R14" s="544"/>
      <c r="S14" s="64" t="s">
        <v>173</v>
      </c>
      <c r="T14" s="297">
        <f>'ｼｰﾄNO.4（表-4）60頁'!G67</f>
        <v>39.75</v>
      </c>
      <c r="U14" s="326">
        <v>64.180000000000007</v>
      </c>
      <c r="V14" s="221">
        <f>P7*Q7*R13*T14*U14</f>
        <v>42859.40400000001</v>
      </c>
      <c r="W14" s="554"/>
    </row>
    <row r="15" spans="1:23" ht="15" customHeight="1">
      <c r="A15" s="541"/>
      <c r="B15" s="568"/>
      <c r="C15" s="540" t="s">
        <v>247</v>
      </c>
      <c r="D15" s="554"/>
      <c r="E15" s="565"/>
      <c r="F15" s="543">
        <f>IF(('ｼｰﾄNO.4（表-4）60頁'!D14-'ｼｰﾄNO.4（表-4）60頁'!H14)/60&gt;0,('ｼｰﾄNO.4（表-4）60頁'!D14-'ｼｰﾄNO.4（表-4）60頁'!H14)/60,0)</f>
        <v>0</v>
      </c>
      <c r="G15" s="63" t="s">
        <v>65</v>
      </c>
      <c r="H15" s="292">
        <f>'ｼｰﾄNO.4（表-4）60頁'!G68</f>
        <v>38.949999999999996</v>
      </c>
      <c r="I15" s="325">
        <v>40.1</v>
      </c>
      <c r="J15" s="99">
        <f>D7*E7*F15*H15*I15</f>
        <v>0</v>
      </c>
      <c r="K15" s="554"/>
      <c r="M15" s="571"/>
      <c r="N15" s="571"/>
      <c r="O15" s="540" t="s">
        <v>247</v>
      </c>
      <c r="P15" s="554"/>
      <c r="Q15" s="565"/>
      <c r="R15" s="543">
        <f>IF(('ｼｰﾄNO.4（表-4）60頁'!D14-'ｼｰﾄNO.4（表-4）60頁'!H14)/60&gt;0,('ｼｰﾄNO.4（表-4）60頁'!D14-'ｼｰﾄNO.4（表-4）60頁'!H14)/60,0)</f>
        <v>0</v>
      </c>
      <c r="S15" s="63" t="s">
        <v>172</v>
      </c>
      <c r="T15" s="294">
        <f>'ｼｰﾄNO.4（表-4）60頁'!G68</f>
        <v>38.949999999999996</v>
      </c>
      <c r="U15" s="325">
        <v>40.1</v>
      </c>
      <c r="V15" s="99">
        <f>P7*Q7*R15*T15*U15</f>
        <v>0</v>
      </c>
      <c r="W15" s="554"/>
    </row>
    <row r="16" spans="1:23" ht="15" customHeight="1">
      <c r="A16" s="541"/>
      <c r="B16" s="568"/>
      <c r="C16" s="542"/>
      <c r="D16" s="554"/>
      <c r="E16" s="565"/>
      <c r="F16" s="544"/>
      <c r="G16" s="64" t="s">
        <v>66</v>
      </c>
      <c r="H16" s="295">
        <f>'ｼｰﾄNO.4（表-4）60頁'!G69</f>
        <v>2.0500000000000003</v>
      </c>
      <c r="I16" s="326">
        <v>64.180000000000007</v>
      </c>
      <c r="J16" s="221">
        <f>D7*E7*F15*H16*I16</f>
        <v>0</v>
      </c>
      <c r="K16" s="554"/>
      <c r="M16" s="571"/>
      <c r="N16" s="571"/>
      <c r="O16" s="542"/>
      <c r="P16" s="554"/>
      <c r="Q16" s="565"/>
      <c r="R16" s="544"/>
      <c r="S16" s="64" t="s">
        <v>173</v>
      </c>
      <c r="T16" s="297">
        <f>'ｼｰﾄNO.4（表-4）60頁'!G69</f>
        <v>2.0500000000000003</v>
      </c>
      <c r="U16" s="326">
        <v>64.180000000000007</v>
      </c>
      <c r="V16" s="221">
        <f>P7*Q7*R15*T16*U16</f>
        <v>0</v>
      </c>
      <c r="W16" s="554"/>
    </row>
    <row r="17" spans="1:23" ht="15" customHeight="1">
      <c r="A17" s="541"/>
      <c r="B17" s="568"/>
      <c r="C17" s="540" t="s">
        <v>248</v>
      </c>
      <c r="D17" s="554"/>
      <c r="E17" s="565"/>
      <c r="F17" s="543">
        <f>IF(('ｼｰﾄNO.4（表-4）60頁'!D16-'ｼｰﾄNO.4（表-4）60頁'!H16)/60&gt;0,('ｼｰﾄNO.4（表-4）60頁'!D16-'ｼｰﾄNO.4（表-4）60頁'!H16)/60,0)</f>
        <v>6.6666666666666666E-2</v>
      </c>
      <c r="G17" s="63" t="s">
        <v>65</v>
      </c>
      <c r="H17" s="294">
        <f>'ｼｰﾄNO.4（表-4）60頁'!G70</f>
        <v>144.4</v>
      </c>
      <c r="I17" s="325">
        <v>40.1</v>
      </c>
      <c r="J17" s="99">
        <f>D7*E7*F17*H17*I17</f>
        <v>38216.904000000002</v>
      </c>
      <c r="K17" s="554"/>
      <c r="M17" s="571"/>
      <c r="N17" s="571"/>
      <c r="O17" s="540" t="s">
        <v>265</v>
      </c>
      <c r="P17" s="554"/>
      <c r="Q17" s="565"/>
      <c r="R17" s="543">
        <f>IF(('ｼｰﾄNO.4（表-4）60頁'!D16-'ｼｰﾄNO.4（表-4）60頁'!H16)/60&gt;0,('ｼｰﾄNO.4（表-4）60頁'!D16-'ｼｰﾄNO.4（表-4）60頁'!H16)/60,0)</f>
        <v>6.6666666666666666E-2</v>
      </c>
      <c r="S17" s="63" t="s">
        <v>172</v>
      </c>
      <c r="T17" s="294">
        <f>'ｼｰﾄNO.4（表-4）60頁'!G70</f>
        <v>144.4</v>
      </c>
      <c r="U17" s="325">
        <v>40.1</v>
      </c>
      <c r="V17" s="99">
        <f>P7*Q7*R17*T17*U17</f>
        <v>55588.224000000002</v>
      </c>
      <c r="W17" s="554"/>
    </row>
    <row r="18" spans="1:23" ht="15" customHeight="1">
      <c r="A18" s="541"/>
      <c r="B18" s="568"/>
      <c r="C18" s="542"/>
      <c r="D18" s="554"/>
      <c r="E18" s="565"/>
      <c r="F18" s="544"/>
      <c r="G18" s="64" t="s">
        <v>66</v>
      </c>
      <c r="H18" s="298">
        <f>'ｼｰﾄNO.4（表-4）60頁'!G71</f>
        <v>7.6000000000000005</v>
      </c>
      <c r="I18" s="326">
        <v>64.180000000000007</v>
      </c>
      <c r="J18" s="221">
        <f>D7*E7*F17*H18*I18</f>
        <v>3219.2688000000007</v>
      </c>
      <c r="K18" s="554"/>
      <c r="M18" s="571"/>
      <c r="N18" s="571"/>
      <c r="O18" s="542"/>
      <c r="P18" s="554"/>
      <c r="Q18" s="565"/>
      <c r="R18" s="544"/>
      <c r="S18" s="64" t="s">
        <v>173</v>
      </c>
      <c r="T18" s="297">
        <f>'ｼｰﾄNO.4（表-4）60頁'!G71</f>
        <v>7.6000000000000005</v>
      </c>
      <c r="U18" s="326">
        <v>64.180000000000007</v>
      </c>
      <c r="V18" s="221">
        <f>P7*Q7*R17*T18*U18</f>
        <v>4682.5728000000008</v>
      </c>
      <c r="W18" s="554"/>
    </row>
    <row r="19" spans="1:23" ht="15" customHeight="1">
      <c r="A19" s="541"/>
      <c r="B19" s="568"/>
      <c r="C19" s="540" t="s">
        <v>249</v>
      </c>
      <c r="D19" s="554"/>
      <c r="E19" s="565"/>
      <c r="F19" s="543">
        <f>IF(('ｼｰﾄNO.4（表-4）60頁'!D18-'ｼｰﾄNO.4（表-4）60頁'!H18)/60&gt;0,('ｼｰﾄNO.4（表-4）60頁'!D18-'ｼｰﾄNO.4（表-4）60頁'!H18)/60,0)</f>
        <v>0</v>
      </c>
      <c r="G19" s="63" t="s">
        <v>65</v>
      </c>
      <c r="H19" s="292">
        <f>'ｼｰﾄNO.4（表-4）60頁'!G72</f>
        <v>44.65</v>
      </c>
      <c r="I19" s="325">
        <v>40.1</v>
      </c>
      <c r="J19" s="99">
        <f>D7*E7*F19*H19*I19</f>
        <v>0</v>
      </c>
      <c r="K19" s="554"/>
      <c r="M19" s="571"/>
      <c r="N19" s="571"/>
      <c r="O19" s="540" t="s">
        <v>228</v>
      </c>
      <c r="P19" s="554"/>
      <c r="Q19" s="565"/>
      <c r="R19" s="543">
        <f>IF(('ｼｰﾄNO.4（表-4）60頁'!D18-'ｼｰﾄNO.4（表-4）60頁'!H18)/60&gt;0,('ｼｰﾄNO.4（表-4）60頁'!D18-'ｼｰﾄNO.4（表-4）60頁'!H18)/60,0)</f>
        <v>0</v>
      </c>
      <c r="S19" s="63" t="s">
        <v>172</v>
      </c>
      <c r="T19" s="294">
        <f>'ｼｰﾄNO.4（表-4）60頁'!G72</f>
        <v>44.65</v>
      </c>
      <c r="U19" s="325">
        <v>40.1</v>
      </c>
      <c r="V19" s="99">
        <f>P7*Q7*R19*T19*U19</f>
        <v>0</v>
      </c>
      <c r="W19" s="554"/>
    </row>
    <row r="20" spans="1:23" ht="15" customHeight="1">
      <c r="A20" s="541"/>
      <c r="B20" s="568"/>
      <c r="C20" s="542"/>
      <c r="D20" s="554"/>
      <c r="E20" s="565"/>
      <c r="F20" s="544"/>
      <c r="G20" s="64" t="s">
        <v>66</v>
      </c>
      <c r="H20" s="295">
        <f>'ｼｰﾄNO.4（表-4）60頁'!G73</f>
        <v>2.35</v>
      </c>
      <c r="I20" s="326">
        <v>64.180000000000007</v>
      </c>
      <c r="J20" s="221">
        <f>D7*E7*F19*H20*I20</f>
        <v>0</v>
      </c>
      <c r="K20" s="554"/>
      <c r="M20" s="571"/>
      <c r="N20" s="571"/>
      <c r="O20" s="542"/>
      <c r="P20" s="554"/>
      <c r="Q20" s="565"/>
      <c r="R20" s="544"/>
      <c r="S20" s="64" t="s">
        <v>173</v>
      </c>
      <c r="T20" s="297">
        <f>'ｼｰﾄNO.4（表-4）60頁'!G73</f>
        <v>2.35</v>
      </c>
      <c r="U20" s="326">
        <v>64.180000000000007</v>
      </c>
      <c r="V20" s="221">
        <f>P7*Q7*R19*T20*U20</f>
        <v>0</v>
      </c>
      <c r="W20" s="554"/>
    </row>
    <row r="21" spans="1:23" ht="15" customHeight="1">
      <c r="A21" s="541"/>
      <c r="B21" s="568"/>
      <c r="C21" s="540" t="s">
        <v>232</v>
      </c>
      <c r="D21" s="554"/>
      <c r="E21" s="565"/>
      <c r="F21" s="543">
        <f>IF(('ｼｰﾄNO.4（表-4）60頁'!D20-'ｼｰﾄNO.4（表-4）60頁'!H20)/60&gt;0,('ｼｰﾄNO.4（表-4）60頁'!D20-'ｼｰﾄNO.4（表-4）60頁'!H20)/60,0)</f>
        <v>0</v>
      </c>
      <c r="G21" s="63" t="s">
        <v>65</v>
      </c>
      <c r="H21" s="294">
        <f>'ｼｰﾄNO.4（表-4）60頁'!G74</f>
        <v>158.65</v>
      </c>
      <c r="I21" s="325">
        <v>40.1</v>
      </c>
      <c r="J21" s="99">
        <f>D7*E7*F21*H21*I21</f>
        <v>0</v>
      </c>
      <c r="K21" s="554"/>
      <c r="M21" s="571"/>
      <c r="N21" s="571"/>
      <c r="O21" s="540" t="s">
        <v>260</v>
      </c>
      <c r="P21" s="554"/>
      <c r="Q21" s="565"/>
      <c r="R21" s="543">
        <f>IF(('ｼｰﾄNO.4（表-4）60頁'!D20-'ｼｰﾄNO.4（表-4）60頁'!H20)/60&gt;0,('ｼｰﾄNO.4（表-4）60頁'!D20-'ｼｰﾄNO.4（表-4）60頁'!H20)/60,0)</f>
        <v>0</v>
      </c>
      <c r="S21" s="63" t="s">
        <v>172</v>
      </c>
      <c r="T21" s="294">
        <f>'ｼｰﾄNO.4（表-4）60頁'!G74</f>
        <v>158.65</v>
      </c>
      <c r="U21" s="325">
        <v>40.1</v>
      </c>
      <c r="V21" s="99">
        <f>P7*Q7*R21*T21*U21</f>
        <v>0</v>
      </c>
      <c r="W21" s="554"/>
    </row>
    <row r="22" spans="1:23" ht="15" customHeight="1">
      <c r="A22" s="541"/>
      <c r="B22" s="568"/>
      <c r="C22" s="542"/>
      <c r="D22" s="554"/>
      <c r="E22" s="565"/>
      <c r="F22" s="544"/>
      <c r="G22" s="64" t="s">
        <v>66</v>
      </c>
      <c r="H22" s="298">
        <f>'ｼｰﾄNO.4（表-4）60頁'!G75</f>
        <v>8.35</v>
      </c>
      <c r="I22" s="326">
        <v>64.180000000000007</v>
      </c>
      <c r="J22" s="221">
        <f>D7*E7*F21*H22*I22</f>
        <v>0</v>
      </c>
      <c r="K22" s="554"/>
      <c r="M22" s="571"/>
      <c r="N22" s="571"/>
      <c r="O22" s="542"/>
      <c r="P22" s="554"/>
      <c r="Q22" s="565"/>
      <c r="R22" s="544"/>
      <c r="S22" s="64" t="s">
        <v>173</v>
      </c>
      <c r="T22" s="297">
        <f>'ｼｰﾄNO.4（表-4）60頁'!G75</f>
        <v>8.35</v>
      </c>
      <c r="U22" s="326">
        <v>64.180000000000007</v>
      </c>
      <c r="V22" s="221">
        <f>P7*Q7*R21*T22*U22</f>
        <v>0</v>
      </c>
      <c r="W22" s="554"/>
    </row>
    <row r="23" spans="1:23" ht="15" customHeight="1">
      <c r="A23" s="541"/>
      <c r="B23" s="568"/>
      <c r="C23" s="540" t="s">
        <v>229</v>
      </c>
      <c r="D23" s="554"/>
      <c r="E23" s="565"/>
      <c r="F23" s="543">
        <f>IF(('ｼｰﾄNO.4（表-4）60頁'!D22-'ｼｰﾄNO.4（表-4）60頁'!H22)/60&gt;0,('ｼｰﾄNO.4（表-4）60頁'!D22-'ｼｰﾄNO.4（表-4）60頁'!H22)/60,0)</f>
        <v>3.3333333333333333E-2</v>
      </c>
      <c r="G23" s="63" t="s">
        <v>65</v>
      </c>
      <c r="H23" s="292">
        <f>'ｼｰﾄNO.4（表-4）60頁'!G76</f>
        <v>747.65</v>
      </c>
      <c r="I23" s="325">
        <v>40.1</v>
      </c>
      <c r="J23" s="99">
        <f>D7*E7*F23*H23*I23</f>
        <v>98936.5245</v>
      </c>
      <c r="K23" s="554"/>
      <c r="M23" s="571"/>
      <c r="N23" s="571"/>
      <c r="O23" s="540" t="s">
        <v>266</v>
      </c>
      <c r="P23" s="554"/>
      <c r="Q23" s="565"/>
      <c r="R23" s="543">
        <f>IF(('ｼｰﾄNO.4（表-4）60頁'!D22-'ｼｰﾄNO.4（表-4）60頁'!H22)/60&gt;0,('ｼｰﾄNO.4（表-4）60頁'!D22-'ｼｰﾄNO.4（表-4）60頁'!H22)/60,0)</f>
        <v>3.3333333333333333E-2</v>
      </c>
      <c r="S23" s="63" t="s">
        <v>172</v>
      </c>
      <c r="T23" s="294">
        <f>'ｼｰﾄNO.4（表-4）60頁'!G76</f>
        <v>747.65</v>
      </c>
      <c r="U23" s="325">
        <v>40.1</v>
      </c>
      <c r="V23" s="99">
        <f>P7*Q7*R23*T23*U23</f>
        <v>143907.67199999999</v>
      </c>
      <c r="W23" s="554"/>
    </row>
    <row r="24" spans="1:23" ht="15" customHeight="1">
      <c r="A24" s="541"/>
      <c r="B24" s="568"/>
      <c r="C24" s="542"/>
      <c r="D24" s="554"/>
      <c r="E24" s="565"/>
      <c r="F24" s="544"/>
      <c r="G24" s="64" t="s">
        <v>66</v>
      </c>
      <c r="H24" s="295">
        <f>'ｼｰﾄNO.4（表-4）60頁'!G77</f>
        <v>39.35</v>
      </c>
      <c r="I24" s="326">
        <v>64.180000000000007</v>
      </c>
      <c r="J24" s="221">
        <f>D7*E7*F23*H24*I24</f>
        <v>8334.0938999999998</v>
      </c>
      <c r="K24" s="554"/>
      <c r="M24" s="571"/>
      <c r="N24" s="571"/>
      <c r="O24" s="542"/>
      <c r="P24" s="554"/>
      <c r="Q24" s="565"/>
      <c r="R24" s="544"/>
      <c r="S24" s="64" t="s">
        <v>173</v>
      </c>
      <c r="T24" s="297">
        <f>'ｼｰﾄNO.4（表-4）60頁'!G77</f>
        <v>39.35</v>
      </c>
      <c r="U24" s="326">
        <v>64.180000000000007</v>
      </c>
      <c r="V24" s="221">
        <f>P7*Q7*R23*T24*U24</f>
        <v>12122.3184</v>
      </c>
      <c r="W24" s="554"/>
    </row>
    <row r="25" spans="1:23" ht="15" customHeight="1">
      <c r="A25" s="541"/>
      <c r="B25" s="568"/>
      <c r="C25" s="540" t="s">
        <v>250</v>
      </c>
      <c r="D25" s="554"/>
      <c r="E25" s="565"/>
      <c r="F25" s="543">
        <f>IF(('ｼｰﾄNO.4（表-4）60頁'!D24-'ｼｰﾄNO.4（表-4）60頁'!H24)/60&gt;0,('ｼｰﾄNO.4（表-4）60頁'!D24-'ｼｰﾄNO.4（表-4）60頁'!H24)/60,0)</f>
        <v>0.11666666666666667</v>
      </c>
      <c r="G25" s="63" t="s">
        <v>65</v>
      </c>
      <c r="H25" s="294">
        <f>'ｼｰﾄNO.4（表-4）60頁'!G78</f>
        <v>133</v>
      </c>
      <c r="I25" s="325">
        <v>40.1</v>
      </c>
      <c r="J25" s="99">
        <f>D7*E7*F25*H25*I25</f>
        <v>61599.615000000005</v>
      </c>
      <c r="K25" s="554"/>
      <c r="M25" s="571"/>
      <c r="N25" s="571"/>
      <c r="O25" s="540" t="s">
        <v>234</v>
      </c>
      <c r="P25" s="554"/>
      <c r="Q25" s="565"/>
      <c r="R25" s="543">
        <f>IF(('ｼｰﾄNO.4（表-4）60頁'!D24-'ｼｰﾄNO.4（表-4）60頁'!H24)/60&gt;0,('ｼｰﾄNO.4（表-4）60頁'!D24-'ｼｰﾄNO.4（表-4）60頁'!H24)/60,0)</f>
        <v>0.11666666666666667</v>
      </c>
      <c r="S25" s="63" t="s">
        <v>172</v>
      </c>
      <c r="T25" s="294">
        <f>'ｼｰﾄNO.4（表-4）60頁'!G78</f>
        <v>133</v>
      </c>
      <c r="U25" s="325">
        <v>40.1</v>
      </c>
      <c r="V25" s="99">
        <f>P7*Q7*R25*T25*U25</f>
        <v>89599.44</v>
      </c>
      <c r="W25" s="554"/>
    </row>
    <row r="26" spans="1:23" ht="15" customHeight="1">
      <c r="A26" s="541"/>
      <c r="B26" s="568"/>
      <c r="C26" s="542"/>
      <c r="D26" s="554"/>
      <c r="E26" s="565"/>
      <c r="F26" s="544"/>
      <c r="G26" s="64" t="s">
        <v>66</v>
      </c>
      <c r="H26" s="298">
        <f>'ｼｰﾄNO.4（表-4）60頁'!G79</f>
        <v>7</v>
      </c>
      <c r="I26" s="326">
        <v>64.180000000000007</v>
      </c>
      <c r="J26" s="221">
        <f>D7*E7*F25*H26*I26</f>
        <v>5188.9530000000013</v>
      </c>
      <c r="K26" s="554"/>
      <c r="M26" s="571"/>
      <c r="N26" s="571"/>
      <c r="O26" s="542"/>
      <c r="P26" s="554"/>
      <c r="Q26" s="565"/>
      <c r="R26" s="544"/>
      <c r="S26" s="64" t="s">
        <v>173</v>
      </c>
      <c r="T26" s="297">
        <f>'ｼｰﾄNO.4（表-4）60頁'!G79</f>
        <v>7</v>
      </c>
      <c r="U26" s="326">
        <v>64.180000000000007</v>
      </c>
      <c r="V26" s="221">
        <f>P7*Q7*R25*T26*U26</f>
        <v>7547.5680000000011</v>
      </c>
      <c r="W26" s="554"/>
    </row>
    <row r="27" spans="1:23" ht="15" customHeight="1">
      <c r="A27" s="541"/>
      <c r="B27" s="568"/>
      <c r="C27" s="540" t="s">
        <v>251</v>
      </c>
      <c r="D27" s="554"/>
      <c r="E27" s="565"/>
      <c r="F27" s="543">
        <f>IF(('ｼｰﾄNO.4（表-4）60頁'!D26-'ｼｰﾄNO.4（表-4）60頁'!H26)/60&gt;0,('ｼｰﾄNO.4（表-4）60頁'!D26-'ｼｰﾄNO.4（表-4）60頁'!H26)/60,0)</f>
        <v>0</v>
      </c>
      <c r="G27" s="63" t="s">
        <v>65</v>
      </c>
      <c r="H27" s="292">
        <f>'ｼｰﾄNO.4（表-4）60頁'!G80</f>
        <v>42.75</v>
      </c>
      <c r="I27" s="325">
        <v>40.1</v>
      </c>
      <c r="J27" s="99">
        <f>D7*E7*F27*H27*I27</f>
        <v>0</v>
      </c>
      <c r="K27" s="554"/>
      <c r="M27" s="571"/>
      <c r="N27" s="571"/>
      <c r="O27" s="540" t="s">
        <v>225</v>
      </c>
      <c r="P27" s="554"/>
      <c r="Q27" s="565"/>
      <c r="R27" s="543">
        <f>IF(('ｼｰﾄNO.4（表-4）60頁'!D26-'ｼｰﾄNO.4（表-4）60頁'!H26)/60&gt;0,('ｼｰﾄNO.4（表-4）60頁'!D26-'ｼｰﾄNO.4（表-4）60頁'!H26)/60,0)</f>
        <v>0</v>
      </c>
      <c r="S27" s="63" t="s">
        <v>172</v>
      </c>
      <c r="T27" s="294">
        <f>'ｼｰﾄNO.4（表-4）60頁'!G80</f>
        <v>42.75</v>
      </c>
      <c r="U27" s="325">
        <v>40.1</v>
      </c>
      <c r="V27" s="99">
        <f>P7*Q7*R27*T27*U27</f>
        <v>0</v>
      </c>
      <c r="W27" s="554"/>
    </row>
    <row r="28" spans="1:23" ht="15" customHeight="1">
      <c r="A28" s="541"/>
      <c r="B28" s="568"/>
      <c r="C28" s="542"/>
      <c r="D28" s="554"/>
      <c r="E28" s="565"/>
      <c r="F28" s="544"/>
      <c r="G28" s="64" t="s">
        <v>66</v>
      </c>
      <c r="H28" s="295">
        <f>'ｼｰﾄNO.4（表-4）60頁'!G81</f>
        <v>2.25</v>
      </c>
      <c r="I28" s="326">
        <v>64.180000000000007</v>
      </c>
      <c r="J28" s="221">
        <f>D7*E7*F27*H28*I28</f>
        <v>0</v>
      </c>
      <c r="K28" s="554"/>
      <c r="M28" s="571"/>
      <c r="N28" s="571"/>
      <c r="O28" s="542"/>
      <c r="P28" s="554"/>
      <c r="Q28" s="565"/>
      <c r="R28" s="544"/>
      <c r="S28" s="64" t="s">
        <v>173</v>
      </c>
      <c r="T28" s="297">
        <f>'ｼｰﾄNO.4（表-4）60頁'!G81</f>
        <v>2.25</v>
      </c>
      <c r="U28" s="326">
        <v>64.180000000000007</v>
      </c>
      <c r="V28" s="221">
        <f>P7*Q7*R27*T28*U28</f>
        <v>0</v>
      </c>
      <c r="W28" s="554"/>
    </row>
    <row r="29" spans="1:23" ht="15" customHeight="1">
      <c r="A29" s="541"/>
      <c r="B29" s="568"/>
      <c r="C29" s="540" t="s">
        <v>243</v>
      </c>
      <c r="D29" s="554"/>
      <c r="E29" s="565"/>
      <c r="F29" s="543">
        <f>IF(('ｼｰﾄNO.4（表-4）60頁'!D28-'ｼｰﾄNO.4（表-4）60頁'!H28)/60&gt;0,('ｼｰﾄNO.4（表-4）60頁'!D28-'ｼｰﾄNO.4（表-4）60頁'!H28)/60,0)</f>
        <v>3.3333333333333333E-2</v>
      </c>
      <c r="G29" s="63" t="s">
        <v>65</v>
      </c>
      <c r="H29" s="294">
        <f>'ｼｰﾄNO.4（表-4）60頁'!G82</f>
        <v>752.4</v>
      </c>
      <c r="I29" s="325">
        <v>40.1</v>
      </c>
      <c r="J29" s="99">
        <f>D7*E7*F29*H29*I29</f>
        <v>99565.09199999999</v>
      </c>
      <c r="K29" s="554"/>
      <c r="M29" s="571"/>
      <c r="N29" s="571"/>
      <c r="O29" s="540" t="s">
        <v>267</v>
      </c>
      <c r="P29" s="554"/>
      <c r="Q29" s="565"/>
      <c r="R29" s="543">
        <f>IF(('ｼｰﾄNO.4（表-4）60頁'!D28-'ｼｰﾄNO.4（表-4）60頁'!H28)/60&gt;0,('ｼｰﾄNO.4（表-4）60頁'!D28-'ｼｰﾄNO.4（表-4）60頁'!H28)/60,0)</f>
        <v>3.3333333333333333E-2</v>
      </c>
      <c r="S29" s="63" t="s">
        <v>172</v>
      </c>
      <c r="T29" s="294">
        <f>'ｼｰﾄNO.4（表-4）60頁'!G82</f>
        <v>752.4</v>
      </c>
      <c r="U29" s="325">
        <v>40.1</v>
      </c>
      <c r="V29" s="99">
        <f>P7*Q7*R29*T29*U29</f>
        <v>144821.95199999999</v>
      </c>
      <c r="W29" s="554"/>
    </row>
    <row r="30" spans="1:23" ht="15" customHeight="1">
      <c r="A30" s="541"/>
      <c r="B30" s="569"/>
      <c r="C30" s="542"/>
      <c r="D30" s="555"/>
      <c r="E30" s="566"/>
      <c r="F30" s="544"/>
      <c r="G30" s="64" t="s">
        <v>66</v>
      </c>
      <c r="H30" s="298">
        <f>'ｼｰﾄNO.4（表-4）60頁'!G83</f>
        <v>39.6</v>
      </c>
      <c r="I30" s="326">
        <v>64.180000000000007</v>
      </c>
      <c r="J30" s="221">
        <f>D7*E7*F29*H30*I30</f>
        <v>8387.0424000000021</v>
      </c>
      <c r="K30" s="555"/>
      <c r="M30" s="571"/>
      <c r="N30" s="572"/>
      <c r="O30" s="542"/>
      <c r="P30" s="555"/>
      <c r="Q30" s="566"/>
      <c r="R30" s="544"/>
      <c r="S30" s="64" t="s">
        <v>173</v>
      </c>
      <c r="T30" s="297">
        <f>'ｼｰﾄNO.4（表-4）60頁'!G83</f>
        <v>39.6</v>
      </c>
      <c r="U30" s="326">
        <v>64.180000000000007</v>
      </c>
      <c r="V30" s="221">
        <f>P7*Q7*R29*T30*U30</f>
        <v>12199.334400000002</v>
      </c>
      <c r="W30" s="555"/>
    </row>
    <row r="31" spans="1:23" ht="15" customHeight="1">
      <c r="A31" s="541"/>
      <c r="B31" s="567" t="s">
        <v>893</v>
      </c>
      <c r="C31" s="540" t="s">
        <v>224</v>
      </c>
      <c r="D31" s="553">
        <f>'ｼｰﾄNO.3（表-3）59頁'!F33</f>
        <v>18</v>
      </c>
      <c r="E31" s="553">
        <f>'ｼｰﾄNO.3（表-3）59頁'!$F$30</f>
        <v>9</v>
      </c>
      <c r="F31" s="543">
        <f>IF(('ｼｰﾄNO.4（表-4）60頁'!D33-'ｼｰﾄNO.4（表-4）60頁'!H33)/60&gt;0,('ｼｰﾄNO.4（表-4）60頁'!D33-'ｼｰﾄNO.4（表-4）60頁'!H33)/60,0)</f>
        <v>1.6666666666666666E-2</v>
      </c>
      <c r="G31" s="63" t="s">
        <v>65</v>
      </c>
      <c r="H31" s="294">
        <f>'ｼｰﾄNO.4（表-4）60頁'!G33</f>
        <v>772.34999999999991</v>
      </c>
      <c r="I31" s="325">
        <v>40.1</v>
      </c>
      <c r="J31" s="99">
        <f>D31*E31*F31*H31*I31</f>
        <v>83622.334499999997</v>
      </c>
      <c r="K31" s="553">
        <f>SUM(J31:J54)</f>
        <v>7826306.7024000008</v>
      </c>
      <c r="M31" s="571"/>
      <c r="N31" s="570" t="s">
        <v>894</v>
      </c>
      <c r="O31" s="540" t="s">
        <v>268</v>
      </c>
      <c r="P31" s="553">
        <f>'ｼｰﾄNO.3（表-3）59頁'!F36</f>
        <v>12</v>
      </c>
      <c r="Q31" s="553">
        <f>'ｼｰﾄNO.3（表-3）59頁'!$F$30</f>
        <v>9</v>
      </c>
      <c r="R31" s="543">
        <f>IF(('ｼｰﾄNO.4（表-4）60頁'!D33-'ｼｰﾄNO.4（表-4）60頁'!H33)/60&gt;0,('ｼｰﾄNO.4（表-4）60頁'!D33-'ｼｰﾄNO.4（表-4）60頁'!H33)/60,0)</f>
        <v>1.6666666666666666E-2</v>
      </c>
      <c r="S31" s="63" t="s">
        <v>65</v>
      </c>
      <c r="T31" s="294">
        <f>'ｼｰﾄNO.4（表-4）60頁'!G33</f>
        <v>772.34999999999991</v>
      </c>
      <c r="U31" s="325">
        <v>40.1</v>
      </c>
      <c r="V31" s="99">
        <f>P31*Q31*R31*T31*U31</f>
        <v>55748.222999999991</v>
      </c>
      <c r="W31" s="553">
        <f>SUM(V31:V54)</f>
        <v>5217537.8016000008</v>
      </c>
    </row>
    <row r="32" spans="1:23" ht="15" customHeight="1">
      <c r="A32" s="541"/>
      <c r="B32" s="568"/>
      <c r="C32" s="542"/>
      <c r="D32" s="554"/>
      <c r="E32" s="565"/>
      <c r="F32" s="544"/>
      <c r="G32" s="64" t="s">
        <v>66</v>
      </c>
      <c r="H32" s="297">
        <f>'ｼｰﾄNO.4（表-4）60頁'!G34</f>
        <v>40.650000000000006</v>
      </c>
      <c r="I32" s="326">
        <v>64.180000000000007</v>
      </c>
      <c r="J32" s="221">
        <f>D31*E31*F31*H32*I32</f>
        <v>7044.0759000000025</v>
      </c>
      <c r="K32" s="554"/>
      <c r="M32" s="571"/>
      <c r="N32" s="571"/>
      <c r="O32" s="542"/>
      <c r="P32" s="554"/>
      <c r="Q32" s="565"/>
      <c r="R32" s="544"/>
      <c r="S32" s="64" t="s">
        <v>66</v>
      </c>
      <c r="T32" s="297">
        <f>'ｼｰﾄNO.4（表-4）60頁'!G34</f>
        <v>40.650000000000006</v>
      </c>
      <c r="U32" s="326">
        <v>64.180000000000007</v>
      </c>
      <c r="V32" s="221">
        <f>P31*Q31*R31*T32*U32</f>
        <v>4696.0506000000014</v>
      </c>
      <c r="W32" s="554"/>
    </row>
    <row r="33" spans="1:23" ht="15" customHeight="1">
      <c r="A33" s="541"/>
      <c r="B33" s="568"/>
      <c r="C33" s="540" t="s">
        <v>252</v>
      </c>
      <c r="D33" s="554"/>
      <c r="E33" s="565"/>
      <c r="F33" s="543">
        <f>IF(('ｼｰﾄNO.4（表-4）60頁'!D35-'ｼｰﾄNO.4（表-4）60頁'!H35)/60&gt;0,('ｼｰﾄNO.4（表-4）60頁'!D35-'ｼｰﾄNO.4（表-4）60頁'!H35)/60,0)</f>
        <v>8.3333333333333329E-2</v>
      </c>
      <c r="G33" s="63" t="s">
        <v>65</v>
      </c>
      <c r="H33" s="294">
        <f>'ｼｰﾄNO.4（表-4）60頁'!G35</f>
        <v>152</v>
      </c>
      <c r="I33" s="325">
        <v>40.1</v>
      </c>
      <c r="J33" s="99">
        <f>D31*E31*F33*H33*I33</f>
        <v>82285.2</v>
      </c>
      <c r="K33" s="554"/>
      <c r="M33" s="571"/>
      <c r="N33" s="571"/>
      <c r="O33" s="540" t="s">
        <v>269</v>
      </c>
      <c r="P33" s="554"/>
      <c r="Q33" s="565"/>
      <c r="R33" s="543">
        <f>IF(('ｼｰﾄNO.4（表-4）60頁'!D35-'ｼｰﾄNO.4（表-4）60頁'!H35)/60&gt;0,('ｼｰﾄNO.4（表-4）60頁'!D35-'ｼｰﾄNO.4（表-4）60頁'!H35)/60,0)</f>
        <v>8.3333333333333329E-2</v>
      </c>
      <c r="S33" s="63" t="s">
        <v>172</v>
      </c>
      <c r="T33" s="294">
        <f>'ｼｰﾄNO.4（表-4）60頁'!G35</f>
        <v>152</v>
      </c>
      <c r="U33" s="325">
        <v>40.1</v>
      </c>
      <c r="V33" s="99">
        <f>P31*Q31*R33*T33*U33</f>
        <v>54856.800000000003</v>
      </c>
      <c r="W33" s="554"/>
    </row>
    <row r="34" spans="1:23" ht="15" customHeight="1">
      <c r="A34" s="541"/>
      <c r="B34" s="568"/>
      <c r="C34" s="542"/>
      <c r="D34" s="554"/>
      <c r="E34" s="565"/>
      <c r="F34" s="544"/>
      <c r="G34" s="64" t="s">
        <v>66</v>
      </c>
      <c r="H34" s="297">
        <f>'ｼｰﾄNO.4（表-4）60頁'!G36</f>
        <v>8</v>
      </c>
      <c r="I34" s="326">
        <v>64.180000000000007</v>
      </c>
      <c r="J34" s="221">
        <f>D31*E31*F33*H34*I34</f>
        <v>6931.4400000000005</v>
      </c>
      <c r="K34" s="554"/>
      <c r="M34" s="571"/>
      <c r="N34" s="571"/>
      <c r="O34" s="542"/>
      <c r="P34" s="554"/>
      <c r="Q34" s="565"/>
      <c r="R34" s="544"/>
      <c r="S34" s="64" t="s">
        <v>173</v>
      </c>
      <c r="T34" s="297">
        <f>'ｼｰﾄNO.4（表-4）60頁'!G36</f>
        <v>8</v>
      </c>
      <c r="U34" s="326">
        <v>64.180000000000007</v>
      </c>
      <c r="V34" s="221">
        <f>P31*Q31*R33*T34*U34</f>
        <v>4620.9600000000009</v>
      </c>
      <c r="W34" s="554"/>
    </row>
    <row r="35" spans="1:23" ht="15" customHeight="1">
      <c r="A35" s="541"/>
      <c r="B35" s="568"/>
      <c r="C35" s="540" t="s">
        <v>237</v>
      </c>
      <c r="D35" s="554"/>
      <c r="E35" s="565"/>
      <c r="F35" s="543">
        <f>IF(('ｼｰﾄNO.4（表-4）60頁'!D37-'ｼｰﾄNO.4（表-4）60頁'!H37)/60&gt;0,('ｼｰﾄNO.4（表-4）60頁'!D37-'ｼｰﾄNO.4（表-4）60頁'!H37)/60,0)</f>
        <v>0.46666666666666667</v>
      </c>
      <c r="G35" s="63" t="s">
        <v>65</v>
      </c>
      <c r="H35" s="294">
        <f>'ｼｰﾄNO.4（表-4）60頁'!G37</f>
        <v>38</v>
      </c>
      <c r="I35" s="325">
        <v>40.1</v>
      </c>
      <c r="J35" s="99">
        <f>D31*E31*F35*H35*I35</f>
        <v>115199.28</v>
      </c>
      <c r="K35" s="554"/>
      <c r="M35" s="571"/>
      <c r="N35" s="571"/>
      <c r="O35" s="540" t="s">
        <v>237</v>
      </c>
      <c r="P35" s="554"/>
      <c r="Q35" s="565"/>
      <c r="R35" s="543">
        <f>IF(('ｼｰﾄNO.4（表-4）60頁'!D37-'ｼｰﾄNO.4（表-4）60頁'!H37)/60&gt;0,('ｼｰﾄNO.4（表-4）60頁'!D37-'ｼｰﾄNO.4（表-4）60頁'!H37)/60,0)</f>
        <v>0.46666666666666667</v>
      </c>
      <c r="S35" s="63" t="s">
        <v>172</v>
      </c>
      <c r="T35" s="294">
        <f>'ｼｰﾄNO.4（表-4）60頁'!G37</f>
        <v>38</v>
      </c>
      <c r="U35" s="325">
        <v>40.1</v>
      </c>
      <c r="V35" s="99">
        <f>P31*Q31*R35*T35*U35</f>
        <v>76799.520000000004</v>
      </c>
      <c r="W35" s="554"/>
    </row>
    <row r="36" spans="1:23" ht="15" customHeight="1">
      <c r="A36" s="541"/>
      <c r="B36" s="568"/>
      <c r="C36" s="542"/>
      <c r="D36" s="554"/>
      <c r="E36" s="565"/>
      <c r="F36" s="544"/>
      <c r="G36" s="64" t="s">
        <v>66</v>
      </c>
      <c r="H36" s="297">
        <f>'ｼｰﾄNO.4（表-4）60頁'!G38</f>
        <v>2</v>
      </c>
      <c r="I36" s="326">
        <v>64.180000000000007</v>
      </c>
      <c r="J36" s="221">
        <f>D31*E31*F35*H36*I36</f>
        <v>9704.0159999999996</v>
      </c>
      <c r="K36" s="554"/>
      <c r="M36" s="571"/>
      <c r="N36" s="571"/>
      <c r="O36" s="542"/>
      <c r="P36" s="554"/>
      <c r="Q36" s="565"/>
      <c r="R36" s="544"/>
      <c r="S36" s="64" t="s">
        <v>173</v>
      </c>
      <c r="T36" s="297">
        <f>'ｼｰﾄNO.4（表-4）60頁'!G38</f>
        <v>2</v>
      </c>
      <c r="U36" s="326">
        <v>64.180000000000007</v>
      </c>
      <c r="V36" s="221">
        <f>P31*Q31*R35*T36*U36</f>
        <v>6469.3440000000001</v>
      </c>
      <c r="W36" s="554"/>
    </row>
    <row r="37" spans="1:23" ht="15" customHeight="1">
      <c r="A37" s="541"/>
      <c r="B37" s="568"/>
      <c r="C37" s="540" t="s">
        <v>231</v>
      </c>
      <c r="D37" s="554"/>
      <c r="E37" s="565"/>
      <c r="F37" s="543">
        <f>IF(('ｼｰﾄNO.4（表-4）60頁'!D39-'ｼｰﾄNO.4（表-4）60頁'!H39)/60&gt;0,('ｼｰﾄNO.4（表-4）60頁'!D39-'ｼｰﾄNO.4（表-4）60頁'!H39)/60,0)</f>
        <v>1.0333333333333334</v>
      </c>
      <c r="G37" s="63" t="s">
        <v>65</v>
      </c>
      <c r="H37" s="294">
        <f>'ｼｰﾄNO.4（表-4）60頁'!G39</f>
        <v>745.75</v>
      </c>
      <c r="I37" s="325">
        <v>40.1</v>
      </c>
      <c r="J37" s="99">
        <f>D31*E31*F37*H37*I37</f>
        <v>5006025.8550000004</v>
      </c>
      <c r="K37" s="554"/>
      <c r="M37" s="571"/>
      <c r="N37" s="571"/>
      <c r="O37" s="540" t="s">
        <v>270</v>
      </c>
      <c r="P37" s="554"/>
      <c r="Q37" s="565"/>
      <c r="R37" s="543">
        <f>IF(('ｼｰﾄNO.4（表-4）60頁'!D39-'ｼｰﾄNO.4（表-4）60頁'!H39)/60&gt;0,('ｼｰﾄNO.4（表-4）60頁'!D39-'ｼｰﾄNO.4（表-4）60頁'!H39)/60,0)</f>
        <v>1.0333333333333334</v>
      </c>
      <c r="S37" s="63" t="s">
        <v>172</v>
      </c>
      <c r="T37" s="294">
        <f>'ｼｰﾄNO.4（表-4）60頁'!G39</f>
        <v>745.75</v>
      </c>
      <c r="U37" s="325">
        <v>40.1</v>
      </c>
      <c r="V37" s="99">
        <f>P31*Q31*R37*T37*U37</f>
        <v>3337350.5700000008</v>
      </c>
      <c r="W37" s="554"/>
    </row>
    <row r="38" spans="1:23" ht="15" customHeight="1">
      <c r="A38" s="541"/>
      <c r="B38" s="568"/>
      <c r="C38" s="542"/>
      <c r="D38" s="554"/>
      <c r="E38" s="565"/>
      <c r="F38" s="544"/>
      <c r="G38" s="64" t="s">
        <v>66</v>
      </c>
      <c r="H38" s="297">
        <f>'ｼｰﾄNO.4（表-4）60頁'!G40</f>
        <v>39.25</v>
      </c>
      <c r="I38" s="326">
        <v>64.180000000000007</v>
      </c>
      <c r="J38" s="221">
        <f>D31*E31*F37*H38*I38</f>
        <v>421691.48100000003</v>
      </c>
      <c r="K38" s="554"/>
      <c r="M38" s="571"/>
      <c r="N38" s="571"/>
      <c r="O38" s="542"/>
      <c r="P38" s="554"/>
      <c r="Q38" s="565"/>
      <c r="R38" s="544"/>
      <c r="S38" s="64" t="s">
        <v>173</v>
      </c>
      <c r="T38" s="297">
        <f>'ｼｰﾄNO.4（表-4）60頁'!G40</f>
        <v>39.25</v>
      </c>
      <c r="U38" s="326">
        <v>64.180000000000007</v>
      </c>
      <c r="V38" s="221">
        <f>P31*Q31*R37*T38*U38</f>
        <v>281127.65400000004</v>
      </c>
      <c r="W38" s="554"/>
    </row>
    <row r="39" spans="1:23" ht="15" customHeight="1">
      <c r="A39" s="541"/>
      <c r="B39" s="568"/>
      <c r="C39" s="540" t="s">
        <v>247</v>
      </c>
      <c r="D39" s="554"/>
      <c r="E39" s="565"/>
      <c r="F39" s="543">
        <f>IF(('ｼｰﾄNO.4（表-4）60頁'!D41-'ｼｰﾄNO.4（表-4）60頁'!H41)/60&gt;0,('ｼｰﾄNO.4（表-4）60頁'!D41-'ｼｰﾄNO.4（表-4）60頁'!H41)/60,0)</f>
        <v>0.3</v>
      </c>
      <c r="G39" s="63" t="s">
        <v>65</v>
      </c>
      <c r="H39" s="294">
        <f>'ｼｰﾄNO.4（表-4）60頁'!G41</f>
        <v>143.44999999999999</v>
      </c>
      <c r="I39" s="325">
        <v>40.1</v>
      </c>
      <c r="J39" s="99">
        <f>D31*E31*F39*H39*I39</f>
        <v>279563.967</v>
      </c>
      <c r="K39" s="554"/>
      <c r="M39" s="571"/>
      <c r="N39" s="571"/>
      <c r="O39" s="540" t="s">
        <v>271</v>
      </c>
      <c r="P39" s="554"/>
      <c r="Q39" s="565"/>
      <c r="R39" s="543">
        <f>IF(('ｼｰﾄNO.4（表-4）60頁'!D41-'ｼｰﾄNO.4（表-4）60頁'!H41)/60&gt;0,('ｼｰﾄNO.4（表-4）60頁'!D41-'ｼｰﾄNO.4（表-4）60頁'!H41)/60,0)</f>
        <v>0.3</v>
      </c>
      <c r="S39" s="63" t="s">
        <v>172</v>
      </c>
      <c r="T39" s="294">
        <f>'ｼｰﾄNO.4（表-4）60頁'!G41</f>
        <v>143.44999999999999</v>
      </c>
      <c r="U39" s="325">
        <v>40.1</v>
      </c>
      <c r="V39" s="99">
        <f>P31*Q31*R39*T39*U39</f>
        <v>186375.978</v>
      </c>
      <c r="W39" s="554"/>
    </row>
    <row r="40" spans="1:23" ht="15" customHeight="1">
      <c r="A40" s="541"/>
      <c r="B40" s="568"/>
      <c r="C40" s="542"/>
      <c r="D40" s="554"/>
      <c r="E40" s="565"/>
      <c r="F40" s="544"/>
      <c r="G40" s="64" t="s">
        <v>66</v>
      </c>
      <c r="H40" s="297">
        <f>'ｼｰﾄNO.4（表-4）60頁'!G42</f>
        <v>7.5500000000000007</v>
      </c>
      <c r="I40" s="326">
        <v>64.180000000000007</v>
      </c>
      <c r="J40" s="221">
        <f>D31*E31*F39*H40*I40</f>
        <v>23549.567400000007</v>
      </c>
      <c r="K40" s="554"/>
      <c r="M40" s="571"/>
      <c r="N40" s="571"/>
      <c r="O40" s="542"/>
      <c r="P40" s="554"/>
      <c r="Q40" s="565"/>
      <c r="R40" s="544"/>
      <c r="S40" s="64" t="s">
        <v>173</v>
      </c>
      <c r="T40" s="297">
        <f>'ｼｰﾄNO.4（表-4）60頁'!G42</f>
        <v>7.5500000000000007</v>
      </c>
      <c r="U40" s="326">
        <v>64.180000000000007</v>
      </c>
      <c r="V40" s="221">
        <f>P31*Q31*R39*T40*U40</f>
        <v>15699.711600000002</v>
      </c>
      <c r="W40" s="554"/>
    </row>
    <row r="41" spans="1:23" ht="15" customHeight="1">
      <c r="A41" s="541"/>
      <c r="B41" s="568"/>
      <c r="C41" s="540" t="s">
        <v>238</v>
      </c>
      <c r="D41" s="554"/>
      <c r="E41" s="565"/>
      <c r="F41" s="543">
        <f>IF(('ｼｰﾄNO.4（表-4）60頁'!D43-'ｼｰﾄNO.4（表-4）60頁'!H43)/60&gt;0,('ｼｰﾄNO.4（表-4）60頁'!D43-'ｼｰﾄNO.4（表-4）60頁'!H43)/60,0)</f>
        <v>1</v>
      </c>
      <c r="G41" s="63" t="s">
        <v>65</v>
      </c>
      <c r="H41" s="294">
        <f>'ｼｰﾄNO.4（表-4）60頁'!G43</f>
        <v>165.29999999999998</v>
      </c>
      <c r="I41" s="325">
        <v>40.1</v>
      </c>
      <c r="J41" s="99">
        <f>D31*E31*F41*H41*I41</f>
        <v>1073821.8599999999</v>
      </c>
      <c r="K41" s="554"/>
      <c r="M41" s="571"/>
      <c r="N41" s="571"/>
      <c r="O41" s="540" t="s">
        <v>272</v>
      </c>
      <c r="P41" s="554"/>
      <c r="Q41" s="565"/>
      <c r="R41" s="543">
        <f>IF(('ｼｰﾄNO.4（表-4）60頁'!D43-'ｼｰﾄNO.4（表-4）60頁'!H43)/60&gt;0,('ｼｰﾄNO.4（表-4）60頁'!D43-'ｼｰﾄNO.4（表-4）60頁'!H43)/60,0)</f>
        <v>1</v>
      </c>
      <c r="S41" s="63" t="s">
        <v>172</v>
      </c>
      <c r="T41" s="294">
        <f>'ｼｰﾄNO.4（表-4）60頁'!G43</f>
        <v>165.29999999999998</v>
      </c>
      <c r="U41" s="325">
        <v>40.1</v>
      </c>
      <c r="V41" s="99">
        <f>P31*Q31*R41*T41*U41</f>
        <v>715881.24</v>
      </c>
      <c r="W41" s="554"/>
    </row>
    <row r="42" spans="1:23" ht="15" customHeight="1">
      <c r="A42" s="541"/>
      <c r="B42" s="568"/>
      <c r="C42" s="542"/>
      <c r="D42" s="554"/>
      <c r="E42" s="565"/>
      <c r="F42" s="544"/>
      <c r="G42" s="64" t="s">
        <v>66</v>
      </c>
      <c r="H42" s="297">
        <f>'ｼｰﾄNO.4（表-4）60頁'!G44</f>
        <v>8.7000000000000011</v>
      </c>
      <c r="I42" s="326">
        <v>64.180000000000007</v>
      </c>
      <c r="J42" s="221">
        <f>D31*E31*F41*H42*I42</f>
        <v>90455.292000000016</v>
      </c>
      <c r="K42" s="554"/>
      <c r="M42" s="571"/>
      <c r="N42" s="571"/>
      <c r="O42" s="542"/>
      <c r="P42" s="554"/>
      <c r="Q42" s="565"/>
      <c r="R42" s="544"/>
      <c r="S42" s="64" t="s">
        <v>173</v>
      </c>
      <c r="T42" s="297">
        <f>'ｼｰﾄNO.4（表-4）60頁'!G44</f>
        <v>8.7000000000000011</v>
      </c>
      <c r="U42" s="326">
        <v>64.180000000000007</v>
      </c>
      <c r="V42" s="221">
        <f>P31*Q31*R41*T42*U42</f>
        <v>60303.528000000013</v>
      </c>
      <c r="W42" s="554"/>
    </row>
    <row r="43" spans="1:23" ht="15" customHeight="1">
      <c r="A43" s="541"/>
      <c r="B43" s="568"/>
      <c r="C43" s="540" t="s">
        <v>253</v>
      </c>
      <c r="D43" s="554"/>
      <c r="E43" s="565"/>
      <c r="F43" s="543">
        <f>IF(('ｼｰﾄNO.4（表-4）60頁'!D45-'ｼｰﾄNO.4（表-4）60頁'!H45)/60&gt;0,('ｼｰﾄNO.4（表-4）60頁'!D45-'ｼｰﾄNO.4（表-4）60頁'!H45)/60,0)</f>
        <v>0.26666666666666666</v>
      </c>
      <c r="G43" s="63" t="s">
        <v>65</v>
      </c>
      <c r="H43" s="294">
        <f>'ｼｰﾄNO.4（表-4）60頁'!G45</f>
        <v>45.599999999999994</v>
      </c>
      <c r="I43" s="325">
        <v>40.1</v>
      </c>
      <c r="J43" s="99">
        <f>D31*E31*F43*H43*I43</f>
        <v>78993.792000000001</v>
      </c>
      <c r="K43" s="554"/>
      <c r="M43" s="571"/>
      <c r="N43" s="571"/>
      <c r="O43" s="540" t="s">
        <v>273</v>
      </c>
      <c r="P43" s="554"/>
      <c r="Q43" s="565"/>
      <c r="R43" s="543">
        <f>IF(('ｼｰﾄNO.4（表-4）60頁'!D45-'ｼｰﾄNO.4（表-4）60頁'!H45)/60&gt;0,('ｼｰﾄNO.4（表-4）60頁'!D45-'ｼｰﾄNO.4（表-4）60頁'!H45)/60,0)</f>
        <v>0.26666666666666666</v>
      </c>
      <c r="S43" s="63" t="s">
        <v>172</v>
      </c>
      <c r="T43" s="294">
        <f>'ｼｰﾄNO.4（表-4）60頁'!G45</f>
        <v>45.599999999999994</v>
      </c>
      <c r="U43" s="325">
        <v>40.1</v>
      </c>
      <c r="V43" s="99">
        <f>P31*Q31*R43*T43*U43</f>
        <v>52662.527999999998</v>
      </c>
      <c r="W43" s="554"/>
    </row>
    <row r="44" spans="1:23" ht="15" customHeight="1">
      <c r="A44" s="541"/>
      <c r="B44" s="568"/>
      <c r="C44" s="542"/>
      <c r="D44" s="554"/>
      <c r="E44" s="565"/>
      <c r="F44" s="544"/>
      <c r="G44" s="64" t="s">
        <v>66</v>
      </c>
      <c r="H44" s="297">
        <f>'ｼｰﾄNO.4（表-4）60頁'!G46</f>
        <v>2.4000000000000004</v>
      </c>
      <c r="I44" s="326">
        <v>64.180000000000007</v>
      </c>
      <c r="J44" s="221">
        <f>D31*E31*F43*H44*I44</f>
        <v>6654.1824000000024</v>
      </c>
      <c r="K44" s="554"/>
      <c r="M44" s="571"/>
      <c r="N44" s="571"/>
      <c r="O44" s="542"/>
      <c r="P44" s="554"/>
      <c r="Q44" s="565"/>
      <c r="R44" s="544"/>
      <c r="S44" s="64" t="s">
        <v>173</v>
      </c>
      <c r="T44" s="297">
        <f>'ｼｰﾄNO.4（表-4）60頁'!G46</f>
        <v>2.4000000000000004</v>
      </c>
      <c r="U44" s="326">
        <v>64.180000000000007</v>
      </c>
      <c r="V44" s="221">
        <f>P31*Q31*R43*T44*U44</f>
        <v>4436.1216000000013</v>
      </c>
      <c r="W44" s="554"/>
    </row>
    <row r="45" spans="1:23" ht="15" customHeight="1">
      <c r="A45" s="541"/>
      <c r="B45" s="568"/>
      <c r="C45" s="540" t="s">
        <v>242</v>
      </c>
      <c r="D45" s="554"/>
      <c r="E45" s="565"/>
      <c r="F45" s="543">
        <f>IF(('ｼｰﾄNO.4（表-4）60頁'!D47-'ｼｰﾄNO.4（表-4）60頁'!H47)/60&gt;0,('ｼｰﾄNO.4（表-4）60頁'!D47-'ｼｰﾄNO.4（表-4）60頁'!H47)/60,0)</f>
        <v>0</v>
      </c>
      <c r="G45" s="63" t="s">
        <v>65</v>
      </c>
      <c r="H45" s="294">
        <f>'ｼｰﾄNO.4（表-4）60頁'!G47</f>
        <v>162.44999999999999</v>
      </c>
      <c r="I45" s="325">
        <v>40.1</v>
      </c>
      <c r="J45" s="99">
        <f>D31*E31*F45*H45*I45</f>
        <v>0</v>
      </c>
      <c r="K45" s="554"/>
      <c r="M45" s="571"/>
      <c r="N45" s="571"/>
      <c r="O45" s="540" t="s">
        <v>274</v>
      </c>
      <c r="P45" s="554"/>
      <c r="Q45" s="565"/>
      <c r="R45" s="543">
        <f>IF(('ｼｰﾄNO.4（表-4）60頁'!D47-'ｼｰﾄNO.4（表-4）60頁'!H47)/60&gt;0,('ｼｰﾄNO.4（表-4）60頁'!D47-'ｼｰﾄNO.4（表-4）60頁'!H47)/60,0)</f>
        <v>0</v>
      </c>
      <c r="S45" s="63" t="s">
        <v>172</v>
      </c>
      <c r="T45" s="294">
        <f>'ｼｰﾄNO.4（表-4）60頁'!G47</f>
        <v>162.44999999999999</v>
      </c>
      <c r="U45" s="325">
        <v>40.1</v>
      </c>
      <c r="V45" s="99">
        <f>P31*Q31*R45*T45*U45</f>
        <v>0</v>
      </c>
      <c r="W45" s="554"/>
    </row>
    <row r="46" spans="1:23" ht="15" customHeight="1">
      <c r="A46" s="541"/>
      <c r="B46" s="568"/>
      <c r="C46" s="542"/>
      <c r="D46" s="554"/>
      <c r="E46" s="565"/>
      <c r="F46" s="544"/>
      <c r="G46" s="64" t="s">
        <v>66</v>
      </c>
      <c r="H46" s="297">
        <f>'ｼｰﾄNO.4（表-4）60頁'!G48</f>
        <v>8.5500000000000007</v>
      </c>
      <c r="I46" s="326">
        <v>64.180000000000007</v>
      </c>
      <c r="J46" s="221">
        <f>D31*E31*F45*H46*I46</f>
        <v>0</v>
      </c>
      <c r="K46" s="554"/>
      <c r="M46" s="571"/>
      <c r="N46" s="571"/>
      <c r="O46" s="542"/>
      <c r="P46" s="554"/>
      <c r="Q46" s="565"/>
      <c r="R46" s="544"/>
      <c r="S46" s="64" t="s">
        <v>173</v>
      </c>
      <c r="T46" s="297">
        <f>'ｼｰﾄNO.4（表-4）60頁'!G48</f>
        <v>8.5500000000000007</v>
      </c>
      <c r="U46" s="326">
        <v>64.180000000000007</v>
      </c>
      <c r="V46" s="221">
        <f>P31*Q31*R45*T46*U46</f>
        <v>0</v>
      </c>
      <c r="W46" s="554"/>
    </row>
    <row r="47" spans="1:23" ht="15" customHeight="1">
      <c r="A47" s="541"/>
      <c r="B47" s="568"/>
      <c r="C47" s="540" t="s">
        <v>254</v>
      </c>
      <c r="D47" s="554"/>
      <c r="E47" s="565"/>
      <c r="F47" s="543">
        <f>IF(('ｼｰﾄNO.4（表-4）60頁'!D49-'ｼｰﾄNO.4（表-4）60頁'!H49)/60&gt;0,('ｼｰﾄNO.4（表-4）60頁'!D49-'ｼｰﾄNO.4（表-4）60頁'!H49)/60,0)</f>
        <v>0.05</v>
      </c>
      <c r="G47" s="63" t="s">
        <v>65</v>
      </c>
      <c r="H47" s="294">
        <f>'ｼｰﾄNO.4（表-4）60頁'!G49</f>
        <v>749.55</v>
      </c>
      <c r="I47" s="325">
        <v>40.1</v>
      </c>
      <c r="J47" s="99">
        <f>D31*E31*F47*H47*I47</f>
        <v>243461.33549999999</v>
      </c>
      <c r="K47" s="554"/>
      <c r="M47" s="571"/>
      <c r="N47" s="571"/>
      <c r="O47" s="540" t="s">
        <v>275</v>
      </c>
      <c r="P47" s="554"/>
      <c r="Q47" s="565"/>
      <c r="R47" s="543">
        <f>IF(('ｼｰﾄNO.4（表-4）60頁'!D49-'ｼｰﾄNO.4（表-4）60頁'!H49)/60&gt;0,('ｼｰﾄNO.4（表-4）60頁'!D49-'ｼｰﾄNO.4（表-4）60頁'!H49)/60,0)</f>
        <v>0.05</v>
      </c>
      <c r="S47" s="63" t="s">
        <v>172</v>
      </c>
      <c r="T47" s="294">
        <f>'ｼｰﾄNO.4（表-4）60頁'!G49</f>
        <v>749.55</v>
      </c>
      <c r="U47" s="325">
        <v>40.1</v>
      </c>
      <c r="V47" s="99">
        <f>P31*Q31*R47*T47*U47</f>
        <v>162307.557</v>
      </c>
      <c r="W47" s="554"/>
    </row>
    <row r="48" spans="1:23" ht="15" customHeight="1">
      <c r="A48" s="541"/>
      <c r="B48" s="568"/>
      <c r="C48" s="542"/>
      <c r="D48" s="554"/>
      <c r="E48" s="565"/>
      <c r="F48" s="544"/>
      <c r="G48" s="64" t="s">
        <v>66</v>
      </c>
      <c r="H48" s="297">
        <f>'ｼｰﾄNO.4（表-4）60頁'!G50</f>
        <v>39.450000000000003</v>
      </c>
      <c r="I48" s="326">
        <v>64.180000000000007</v>
      </c>
      <c r="J48" s="221">
        <f>D31*E31*F47*H48*I48</f>
        <v>20508.398100000002</v>
      </c>
      <c r="K48" s="554"/>
      <c r="M48" s="571"/>
      <c r="N48" s="571"/>
      <c r="O48" s="542"/>
      <c r="P48" s="554"/>
      <c r="Q48" s="565"/>
      <c r="R48" s="544"/>
      <c r="S48" s="64" t="s">
        <v>173</v>
      </c>
      <c r="T48" s="297">
        <f>'ｼｰﾄNO.4（表-4）60頁'!G50</f>
        <v>39.450000000000003</v>
      </c>
      <c r="U48" s="326">
        <v>64.180000000000007</v>
      </c>
      <c r="V48" s="221">
        <f>P31*Q31*R47*T48*U48</f>
        <v>13672.265400000004</v>
      </c>
      <c r="W48" s="554"/>
    </row>
    <row r="49" spans="1:23" ht="15" customHeight="1">
      <c r="A49" s="541"/>
      <c r="B49" s="568"/>
      <c r="C49" s="540" t="s">
        <v>255</v>
      </c>
      <c r="D49" s="554"/>
      <c r="E49" s="565"/>
      <c r="F49" s="543">
        <f>IF(('ｼｰﾄNO.4（表-4）60頁'!D51-'ｼｰﾄNO.4（表-4）60頁'!H51)/60&gt;0,('ｼｰﾄNO.4（表-4）60頁'!D51-'ｼｰﾄNO.4（表-4）60頁'!H51)/60,0)</f>
        <v>0.1</v>
      </c>
      <c r="G49" s="63" t="s">
        <v>65</v>
      </c>
      <c r="H49" s="294">
        <f>'ｼｰﾄNO.4（表-4）60頁'!G51</f>
        <v>144.4</v>
      </c>
      <c r="I49" s="325">
        <v>40.1</v>
      </c>
      <c r="J49" s="99">
        <f>D31*E31*F49*H49*I49</f>
        <v>93805.128000000012</v>
      </c>
      <c r="K49" s="554"/>
      <c r="M49" s="571"/>
      <c r="N49" s="571"/>
      <c r="O49" s="540" t="s">
        <v>276</v>
      </c>
      <c r="P49" s="554"/>
      <c r="Q49" s="565"/>
      <c r="R49" s="543">
        <f>IF(('ｼｰﾄNO.4（表-4）60頁'!D51-'ｼｰﾄNO.4（表-4）60頁'!H51)/60&gt;0,('ｼｰﾄNO.4（表-4）60頁'!D51-'ｼｰﾄNO.4（表-4）60頁'!H51)/60,0)</f>
        <v>0.1</v>
      </c>
      <c r="S49" s="63" t="s">
        <v>172</v>
      </c>
      <c r="T49" s="294">
        <f>'ｼｰﾄNO.4（表-4）60頁'!G51</f>
        <v>144.4</v>
      </c>
      <c r="U49" s="325">
        <v>40.1</v>
      </c>
      <c r="V49" s="99">
        <f>P31*Q31*R49*T49*U49</f>
        <v>62536.752000000008</v>
      </c>
      <c r="W49" s="554"/>
    </row>
    <row r="50" spans="1:23" ht="15" customHeight="1">
      <c r="A50" s="541"/>
      <c r="B50" s="568"/>
      <c r="C50" s="542"/>
      <c r="D50" s="554"/>
      <c r="E50" s="565"/>
      <c r="F50" s="544"/>
      <c r="G50" s="64" t="s">
        <v>66</v>
      </c>
      <c r="H50" s="297">
        <f>'ｼｰﾄNO.4（表-4）60頁'!G52</f>
        <v>7.6000000000000005</v>
      </c>
      <c r="I50" s="326">
        <v>64.180000000000007</v>
      </c>
      <c r="J50" s="221">
        <f>D31*E31*F49*H50*I50</f>
        <v>7901.8416000000016</v>
      </c>
      <c r="K50" s="554"/>
      <c r="M50" s="571"/>
      <c r="N50" s="571"/>
      <c r="O50" s="542"/>
      <c r="P50" s="554"/>
      <c r="Q50" s="565"/>
      <c r="R50" s="544"/>
      <c r="S50" s="64" t="s">
        <v>173</v>
      </c>
      <c r="T50" s="297">
        <f>'ｼｰﾄNO.4（表-4）60頁'!G52</f>
        <v>7.6000000000000005</v>
      </c>
      <c r="U50" s="326">
        <v>64.180000000000007</v>
      </c>
      <c r="V50" s="221">
        <f>P31*Q31*R49*T50*U50</f>
        <v>5267.894400000001</v>
      </c>
      <c r="W50" s="554"/>
    </row>
    <row r="51" spans="1:23" ht="15" customHeight="1">
      <c r="A51" s="541"/>
      <c r="B51" s="568"/>
      <c r="C51" s="540" t="s">
        <v>251</v>
      </c>
      <c r="D51" s="554"/>
      <c r="E51" s="565"/>
      <c r="F51" s="543">
        <f>IF(('ｼｰﾄNO.4（表-4）60頁'!D53-'ｼｰﾄNO.4（表-4）60頁'!H53)/60&gt;0,('ｼｰﾄNO.4（表-4）60頁'!D53-'ｼｰﾄNO.4（表-4）60頁'!H53)/60,0)</f>
        <v>0</v>
      </c>
      <c r="G51" s="63" t="s">
        <v>65</v>
      </c>
      <c r="H51" s="294">
        <f>'ｼｰﾄNO.4（表-4）60頁'!G53</f>
        <v>43.699999999999996</v>
      </c>
      <c r="I51" s="325">
        <v>40.1</v>
      </c>
      <c r="J51" s="99">
        <f>D31*E31*F51*H51*I51</f>
        <v>0</v>
      </c>
      <c r="K51" s="554"/>
      <c r="M51" s="571"/>
      <c r="N51" s="571"/>
      <c r="O51" s="540" t="s">
        <v>251</v>
      </c>
      <c r="P51" s="554"/>
      <c r="Q51" s="565"/>
      <c r="R51" s="543">
        <f>IF(('ｼｰﾄNO.4（表-4）60頁'!D53-'ｼｰﾄNO.4（表-4）60頁'!H53)/60&gt;0,('ｼｰﾄNO.4（表-4）60頁'!D53-'ｼｰﾄNO.4（表-4）60頁'!H53)/60,0)</f>
        <v>0</v>
      </c>
      <c r="S51" s="63" t="s">
        <v>172</v>
      </c>
      <c r="T51" s="294">
        <f>'ｼｰﾄNO.4（表-4）60頁'!G53</f>
        <v>43.699999999999996</v>
      </c>
      <c r="U51" s="325">
        <v>40.1</v>
      </c>
      <c r="V51" s="99">
        <f>P31*Q31*R51*T51*U51</f>
        <v>0</v>
      </c>
      <c r="W51" s="554"/>
    </row>
    <row r="52" spans="1:23" ht="15" customHeight="1">
      <c r="A52" s="541"/>
      <c r="B52" s="568"/>
      <c r="C52" s="542"/>
      <c r="D52" s="554"/>
      <c r="E52" s="565"/>
      <c r="F52" s="544"/>
      <c r="G52" s="64" t="s">
        <v>66</v>
      </c>
      <c r="H52" s="297">
        <f>'ｼｰﾄNO.4（表-4）60頁'!G54</f>
        <v>2.3000000000000003</v>
      </c>
      <c r="I52" s="326">
        <v>64.180000000000007</v>
      </c>
      <c r="J52" s="221">
        <f>D31*E31*F51*H52*I52</f>
        <v>0</v>
      </c>
      <c r="K52" s="554"/>
      <c r="M52" s="571"/>
      <c r="N52" s="571"/>
      <c r="O52" s="542"/>
      <c r="P52" s="554"/>
      <c r="Q52" s="565"/>
      <c r="R52" s="544"/>
      <c r="S52" s="64" t="s">
        <v>173</v>
      </c>
      <c r="T52" s="297">
        <f>'ｼｰﾄNO.4（表-4）60頁'!G54</f>
        <v>2.3000000000000003</v>
      </c>
      <c r="U52" s="326">
        <v>64.180000000000007</v>
      </c>
      <c r="V52" s="221">
        <f>P31*Q31*R51*T52*U52</f>
        <v>0</v>
      </c>
      <c r="W52" s="554"/>
    </row>
    <row r="53" spans="1:23" ht="15" customHeight="1">
      <c r="A53" s="541"/>
      <c r="B53" s="568"/>
      <c r="C53" s="540" t="s">
        <v>243</v>
      </c>
      <c r="D53" s="554"/>
      <c r="E53" s="565"/>
      <c r="F53" s="543">
        <f>IF(('ｼｰﾄNO.4（表-4）60頁'!D55-'ｼｰﾄNO.4（表-4）60頁'!H55)/60&gt;0,('ｼｰﾄNO.4（表-4）60頁'!D55-'ｼｰﾄNO.4（表-4）60頁'!H55)/60,0)</f>
        <v>3.3333333333333333E-2</v>
      </c>
      <c r="G53" s="63" t="s">
        <v>65</v>
      </c>
      <c r="H53" s="294">
        <f>'ｼｰﾄNO.4（表-4）60頁'!G55</f>
        <v>745.75</v>
      </c>
      <c r="I53" s="325">
        <v>40.1</v>
      </c>
      <c r="J53" s="99">
        <f>D31*E31*F53*H53*I53</f>
        <v>161484.70500000002</v>
      </c>
      <c r="K53" s="554"/>
      <c r="M53" s="571"/>
      <c r="N53" s="571"/>
      <c r="O53" s="540" t="s">
        <v>277</v>
      </c>
      <c r="P53" s="554"/>
      <c r="Q53" s="565"/>
      <c r="R53" s="543">
        <f>IF(('ｼｰﾄNO.4（表-4）60頁'!D55-'ｼｰﾄNO.4（表-4）60頁'!H55)/60&gt;0,('ｼｰﾄNO.4（表-4）60頁'!D55-'ｼｰﾄNO.4（表-4）60頁'!H55)/60,0)</f>
        <v>3.3333333333333333E-2</v>
      </c>
      <c r="S53" s="63" t="s">
        <v>172</v>
      </c>
      <c r="T53" s="294">
        <f>'ｼｰﾄNO.4（表-4）60頁'!G55</f>
        <v>745.75</v>
      </c>
      <c r="U53" s="325">
        <v>40.1</v>
      </c>
      <c r="V53" s="99">
        <f>P31*Q31*R53*T53*U53</f>
        <v>107656.47000000002</v>
      </c>
      <c r="W53" s="554"/>
    </row>
    <row r="54" spans="1:23" ht="15" customHeight="1">
      <c r="A54" s="541"/>
      <c r="B54" s="569"/>
      <c r="C54" s="542"/>
      <c r="D54" s="555"/>
      <c r="E54" s="566"/>
      <c r="F54" s="544"/>
      <c r="G54" s="64" t="s">
        <v>66</v>
      </c>
      <c r="H54" s="297">
        <f>'ｼｰﾄNO.4（表-4）60頁'!G56</f>
        <v>39.25</v>
      </c>
      <c r="I54" s="326">
        <v>64.180000000000007</v>
      </c>
      <c r="J54" s="221">
        <f>D31*E31*F53*H54*I54</f>
        <v>13602.951000000003</v>
      </c>
      <c r="K54" s="555"/>
      <c r="M54" s="571"/>
      <c r="N54" s="572"/>
      <c r="O54" s="542"/>
      <c r="P54" s="555"/>
      <c r="Q54" s="566"/>
      <c r="R54" s="544"/>
      <c r="S54" s="64" t="s">
        <v>173</v>
      </c>
      <c r="T54" s="297">
        <f>'ｼｰﾄNO.4（表-4）60頁'!G56</f>
        <v>39.25</v>
      </c>
      <c r="U54" s="326">
        <v>64.180000000000007</v>
      </c>
      <c r="V54" s="221">
        <f>P31*Q31*R53*T54*U54</f>
        <v>9068.6340000000018</v>
      </c>
      <c r="W54" s="555"/>
    </row>
    <row r="55" spans="1:23" ht="15" customHeight="1">
      <c r="A55" s="541"/>
      <c r="B55" s="567" t="s">
        <v>895</v>
      </c>
      <c r="C55" s="540" t="s">
        <v>256</v>
      </c>
      <c r="D55" s="553">
        <f>'ｼｰﾄNO.3（表-3）59頁'!F34</f>
        <v>38</v>
      </c>
      <c r="E55" s="553">
        <f>'ｼｰﾄNO.3（表-3）59頁'!$F$30</f>
        <v>9</v>
      </c>
      <c r="F55" s="543">
        <f>IF(('ｼｰﾄNO.4（表-4）60頁'!D60-'ｼｰﾄNO.4（表-4）60頁'!H60)/60&gt;0,('ｼｰﾄNO.4（表-4）60頁'!D60-'ｼｰﾄNO.4（表-4）60頁'!H60)/60,0)</f>
        <v>0</v>
      </c>
      <c r="G55" s="63" t="s">
        <v>65</v>
      </c>
      <c r="H55" s="294">
        <f>'ｼｰﾄNO.4（表-4）60頁'!G6</f>
        <v>775.19999999999993</v>
      </c>
      <c r="I55" s="325">
        <v>40.1</v>
      </c>
      <c r="J55" s="99">
        <f>D55*E55*F55*H55*I55</f>
        <v>0</v>
      </c>
      <c r="K55" s="553">
        <f>SUM(J55:J78)</f>
        <v>3150797.1624000003</v>
      </c>
      <c r="M55" s="571"/>
      <c r="N55" s="570" t="s">
        <v>896</v>
      </c>
      <c r="O55" s="540" t="s">
        <v>268</v>
      </c>
      <c r="P55" s="553">
        <f>'ｼｰﾄNO.3（表-3）59頁'!F37</f>
        <v>16</v>
      </c>
      <c r="Q55" s="553">
        <f>'ｼｰﾄNO.3（表-3）59頁'!$F$30</f>
        <v>9</v>
      </c>
      <c r="R55" s="543">
        <f>IF(('ｼｰﾄNO.4（表-4）60頁'!D60-'ｼｰﾄNO.4（表-4）60頁'!H60)/60&gt;0,('ｼｰﾄNO.4（表-4）60頁'!D60-'ｼｰﾄNO.4（表-4）60頁'!H60)/60,0)</f>
        <v>0</v>
      </c>
      <c r="S55" s="63" t="s">
        <v>65</v>
      </c>
      <c r="T55" s="294">
        <f>'ｼｰﾄNO.4（表-4）60頁'!G6</f>
        <v>775.19999999999993</v>
      </c>
      <c r="U55" s="325">
        <v>40.1</v>
      </c>
      <c r="V55" s="99">
        <f>P55*Q55*R55*T55*U55</f>
        <v>0</v>
      </c>
      <c r="W55" s="553">
        <f>SUM(V55:V78)</f>
        <v>1326651.4367999998</v>
      </c>
    </row>
    <row r="56" spans="1:23" ht="15" customHeight="1">
      <c r="A56" s="541"/>
      <c r="B56" s="568"/>
      <c r="C56" s="542"/>
      <c r="D56" s="554"/>
      <c r="E56" s="565"/>
      <c r="F56" s="544"/>
      <c r="G56" s="64" t="s">
        <v>66</v>
      </c>
      <c r="H56" s="297">
        <f>'ｼｰﾄNO.4（表-4）60頁'!G7</f>
        <v>40.800000000000004</v>
      </c>
      <c r="I56" s="326">
        <v>64.180000000000007</v>
      </c>
      <c r="J56" s="221">
        <f>D55*E55*F55*H56*I56</f>
        <v>0</v>
      </c>
      <c r="K56" s="554"/>
      <c r="M56" s="571"/>
      <c r="N56" s="571"/>
      <c r="O56" s="542"/>
      <c r="P56" s="554"/>
      <c r="Q56" s="565"/>
      <c r="R56" s="544"/>
      <c r="S56" s="64" t="s">
        <v>66</v>
      </c>
      <c r="T56" s="297">
        <f>'ｼｰﾄNO.4（表-4）60頁'!G7</f>
        <v>40.800000000000004</v>
      </c>
      <c r="U56" s="326">
        <v>64.180000000000007</v>
      </c>
      <c r="V56" s="221">
        <f>P55*Q55*R55*T56*U56</f>
        <v>0</v>
      </c>
      <c r="W56" s="554"/>
    </row>
    <row r="57" spans="1:23" ht="15" customHeight="1">
      <c r="A57" s="541"/>
      <c r="B57" s="568"/>
      <c r="C57" s="540" t="s">
        <v>257</v>
      </c>
      <c r="D57" s="554"/>
      <c r="E57" s="565"/>
      <c r="F57" s="543">
        <f>IF(('ｼｰﾄNO.4（表-4）60頁'!D62-'ｼｰﾄNO.4（表-4）60頁'!H62)/60&gt;0,('ｼｰﾄNO.4（表-4）60頁'!D62-'ｼｰﾄNO.4（表-4）60頁'!H62)/60,0)</f>
        <v>1.6666666666666666E-2</v>
      </c>
      <c r="G57" s="63" t="s">
        <v>65</v>
      </c>
      <c r="H57" s="294">
        <f>'ｼｰﾄNO.4（表-4）60頁'!G8</f>
        <v>149.15</v>
      </c>
      <c r="I57" s="325">
        <v>40.1</v>
      </c>
      <c r="J57" s="99">
        <f>D55*E55*F57*H57*I57</f>
        <v>34091.215500000006</v>
      </c>
      <c r="K57" s="554"/>
      <c r="M57" s="571"/>
      <c r="N57" s="571"/>
      <c r="O57" s="540" t="s">
        <v>278</v>
      </c>
      <c r="P57" s="554"/>
      <c r="Q57" s="565"/>
      <c r="R57" s="543">
        <f>IF(('ｼｰﾄNO.4（表-4）60頁'!D62-'ｼｰﾄNO.4（表-4）60頁'!H62)/60&gt;0,('ｼｰﾄNO.4（表-4）60頁'!D62-'ｼｰﾄNO.4（表-4）60頁'!H62)/60,0)</f>
        <v>1.6666666666666666E-2</v>
      </c>
      <c r="S57" s="63" t="s">
        <v>172</v>
      </c>
      <c r="T57" s="294">
        <f>'ｼｰﾄNO.4（表-4）60頁'!G8</f>
        <v>149.15</v>
      </c>
      <c r="U57" s="325">
        <v>40.1</v>
      </c>
      <c r="V57" s="99">
        <f>P55*Q55*R57*T57*U57</f>
        <v>14354.196</v>
      </c>
      <c r="W57" s="554"/>
    </row>
    <row r="58" spans="1:23" ht="15" customHeight="1">
      <c r="A58" s="541"/>
      <c r="B58" s="568"/>
      <c r="C58" s="542"/>
      <c r="D58" s="554"/>
      <c r="E58" s="565"/>
      <c r="F58" s="544"/>
      <c r="G58" s="64" t="s">
        <v>66</v>
      </c>
      <c r="H58" s="297">
        <f>'ｼｰﾄNO.4（表-4）60頁'!G9</f>
        <v>7.8500000000000005</v>
      </c>
      <c r="I58" s="326">
        <v>64.180000000000007</v>
      </c>
      <c r="J58" s="221">
        <f>D55*E55*F57*H58*I58</f>
        <v>2871.7341000000006</v>
      </c>
      <c r="K58" s="554"/>
      <c r="M58" s="571"/>
      <c r="N58" s="571"/>
      <c r="O58" s="542"/>
      <c r="P58" s="554"/>
      <c r="Q58" s="565"/>
      <c r="R58" s="544"/>
      <c r="S58" s="64" t="s">
        <v>173</v>
      </c>
      <c r="T58" s="297">
        <f>'ｼｰﾄNO.4（表-4）60頁'!G9</f>
        <v>7.8500000000000005</v>
      </c>
      <c r="U58" s="326">
        <v>64.180000000000007</v>
      </c>
      <c r="V58" s="221">
        <f>P55*Q55*R57*T58*U58</f>
        <v>1209.1512</v>
      </c>
      <c r="W58" s="554"/>
    </row>
    <row r="59" spans="1:23" ht="15" customHeight="1">
      <c r="A59" s="541"/>
      <c r="B59" s="568"/>
      <c r="C59" s="540" t="s">
        <v>246</v>
      </c>
      <c r="D59" s="554"/>
      <c r="E59" s="565"/>
      <c r="F59" s="543">
        <f>IF(('ｼｰﾄNO.4（表-4）60頁'!D64-'ｼｰﾄNO.4（表-4）60頁'!H64)/60&gt;0,('ｼｰﾄNO.4（表-4）60頁'!D64-'ｼｰﾄNO.4（表-4）60頁'!H64)/60,0)</f>
        <v>0.31666666666666665</v>
      </c>
      <c r="G59" s="63" t="s">
        <v>65</v>
      </c>
      <c r="H59" s="294">
        <f>'ｼｰﾄNO.4（表-4）60頁'!G10</f>
        <v>38</v>
      </c>
      <c r="I59" s="325">
        <v>40.1</v>
      </c>
      <c r="J59" s="99">
        <f>D55*E55*F59*H59*I59</f>
        <v>165027.53999999998</v>
      </c>
      <c r="K59" s="554"/>
      <c r="M59" s="571"/>
      <c r="N59" s="571"/>
      <c r="O59" s="540" t="s">
        <v>279</v>
      </c>
      <c r="P59" s="554"/>
      <c r="Q59" s="565"/>
      <c r="R59" s="543">
        <f>IF(('ｼｰﾄNO.4（表-4）60頁'!D64-'ｼｰﾄNO.4（表-4）60頁'!H64)/60&gt;0,('ｼｰﾄNO.4（表-4）60頁'!D64-'ｼｰﾄNO.4（表-4）60頁'!H64)/60,0)</f>
        <v>0.31666666666666665</v>
      </c>
      <c r="S59" s="63" t="s">
        <v>172</v>
      </c>
      <c r="T59" s="294">
        <f>'ｼｰﾄNO.4（表-4）60頁'!G10</f>
        <v>38</v>
      </c>
      <c r="U59" s="325">
        <v>40.1</v>
      </c>
      <c r="V59" s="99">
        <f>P55*Q55*R59*T59*U59</f>
        <v>69485.279999999984</v>
      </c>
      <c r="W59" s="554"/>
    </row>
    <row r="60" spans="1:23" ht="15" customHeight="1">
      <c r="A60" s="541"/>
      <c r="B60" s="568"/>
      <c r="C60" s="542"/>
      <c r="D60" s="554"/>
      <c r="E60" s="565"/>
      <c r="F60" s="544"/>
      <c r="G60" s="64" t="s">
        <v>66</v>
      </c>
      <c r="H60" s="297">
        <f>'ｼｰﾄNO.4（表-4）60頁'!G11</f>
        <v>2</v>
      </c>
      <c r="I60" s="326">
        <v>64.180000000000007</v>
      </c>
      <c r="J60" s="221">
        <f>D55*E55*F59*H60*I60</f>
        <v>13901.388000000001</v>
      </c>
      <c r="K60" s="554"/>
      <c r="M60" s="571"/>
      <c r="N60" s="571"/>
      <c r="O60" s="542"/>
      <c r="P60" s="554"/>
      <c r="Q60" s="565"/>
      <c r="R60" s="544"/>
      <c r="S60" s="64" t="s">
        <v>173</v>
      </c>
      <c r="T60" s="297">
        <f>'ｼｰﾄNO.4（表-4）60頁'!G11</f>
        <v>2</v>
      </c>
      <c r="U60" s="326">
        <v>64.180000000000007</v>
      </c>
      <c r="V60" s="221">
        <f>P55*Q55*R59*T60*U60</f>
        <v>5853.2159999999994</v>
      </c>
      <c r="W60" s="554"/>
    </row>
    <row r="61" spans="1:23" ht="15" customHeight="1">
      <c r="A61" s="541"/>
      <c r="B61" s="568"/>
      <c r="C61" s="540" t="s">
        <v>258</v>
      </c>
      <c r="D61" s="554"/>
      <c r="E61" s="565"/>
      <c r="F61" s="543">
        <f>IF(('ｼｰﾄNO.4（表-4）60頁'!D66-'ｼｰﾄNO.4（表-4）60頁'!H66)/60&gt;0,('ｼｰﾄNO.4（表-4）60頁'!D66-'ｼｰﾄNO.4（表-4）60頁'!H66)/60,0)</f>
        <v>0.15</v>
      </c>
      <c r="G61" s="63" t="s">
        <v>65</v>
      </c>
      <c r="H61" s="294">
        <f>'ｼｰﾄNO.4（表-4）60頁'!G12</f>
        <v>755.25</v>
      </c>
      <c r="I61" s="325">
        <v>40.1</v>
      </c>
      <c r="J61" s="99">
        <f>D55*E55*F61*H61*I61</f>
        <v>1553647.4324999999</v>
      </c>
      <c r="K61" s="554"/>
      <c r="M61" s="571"/>
      <c r="N61" s="571"/>
      <c r="O61" s="540" t="s">
        <v>280</v>
      </c>
      <c r="P61" s="554"/>
      <c r="Q61" s="565"/>
      <c r="R61" s="543">
        <f>IF(('ｼｰﾄNO.4（表-4）60頁'!D66-'ｼｰﾄNO.4（表-4）60頁'!H66)/60&gt;0,('ｼｰﾄNO.4（表-4）60頁'!D66-'ｼｰﾄNO.4（表-4）60頁'!H66)/60,0)</f>
        <v>0.15</v>
      </c>
      <c r="S61" s="63" t="s">
        <v>172</v>
      </c>
      <c r="T61" s="294">
        <f>'ｼｰﾄNO.4（表-4）60頁'!G12</f>
        <v>755.25</v>
      </c>
      <c r="U61" s="325">
        <v>40.1</v>
      </c>
      <c r="V61" s="99">
        <f>P55*Q55*R61*T61*U61</f>
        <v>654167.34</v>
      </c>
      <c r="W61" s="554"/>
    </row>
    <row r="62" spans="1:23" ht="15" customHeight="1">
      <c r="A62" s="541"/>
      <c r="B62" s="568"/>
      <c r="C62" s="542"/>
      <c r="D62" s="554"/>
      <c r="E62" s="565"/>
      <c r="F62" s="544"/>
      <c r="G62" s="64" t="s">
        <v>66</v>
      </c>
      <c r="H62" s="297">
        <f>'ｼｰﾄNO.4（表-4）60頁'!G13</f>
        <v>39.75</v>
      </c>
      <c r="I62" s="326">
        <v>64.180000000000007</v>
      </c>
      <c r="J62" s="221">
        <f>D55*E55*F61*H62*I62</f>
        <v>130874.25150000001</v>
      </c>
      <c r="K62" s="554"/>
      <c r="M62" s="571"/>
      <c r="N62" s="571"/>
      <c r="O62" s="542"/>
      <c r="P62" s="554"/>
      <c r="Q62" s="565"/>
      <c r="R62" s="544"/>
      <c r="S62" s="64" t="s">
        <v>173</v>
      </c>
      <c r="T62" s="297">
        <f>'ｼｰﾄNO.4（表-4）60頁'!G13</f>
        <v>39.75</v>
      </c>
      <c r="U62" s="326">
        <v>64.180000000000007</v>
      </c>
      <c r="V62" s="221">
        <f>P55*Q55*R61*T62*U62</f>
        <v>55104.947999999997</v>
      </c>
      <c r="W62" s="554"/>
    </row>
    <row r="63" spans="1:23" ht="15" customHeight="1">
      <c r="A63" s="541"/>
      <c r="B63" s="568"/>
      <c r="C63" s="540" t="s">
        <v>259</v>
      </c>
      <c r="D63" s="554"/>
      <c r="E63" s="565"/>
      <c r="F63" s="543">
        <f>IF(('ｼｰﾄNO.4（表-4）60頁'!D68-'ｼｰﾄNO.4（表-4）60頁'!H68)/60&gt;0,('ｼｰﾄNO.4（表-4）60頁'!D68-'ｼｰﾄNO.4（表-4）60頁'!H68)/60,0)</f>
        <v>0</v>
      </c>
      <c r="G63" s="63" t="s">
        <v>65</v>
      </c>
      <c r="H63" s="294">
        <f>'ｼｰﾄNO.4（表-4）60頁'!G14</f>
        <v>38</v>
      </c>
      <c r="I63" s="325">
        <v>40.1</v>
      </c>
      <c r="J63" s="99">
        <f>D55*E55*F63*H63*I63</f>
        <v>0</v>
      </c>
      <c r="K63" s="554"/>
      <c r="M63" s="571"/>
      <c r="N63" s="571"/>
      <c r="O63" s="540" t="s">
        <v>247</v>
      </c>
      <c r="P63" s="554"/>
      <c r="Q63" s="565"/>
      <c r="R63" s="543">
        <f>IF(('ｼｰﾄNO.4（表-4）60頁'!D68-'ｼｰﾄNO.4（表-4）60頁'!H68)/60&gt;0,('ｼｰﾄNO.4（表-4）60頁'!D68-'ｼｰﾄNO.4（表-4）60頁'!H68)/60,0)</f>
        <v>0</v>
      </c>
      <c r="S63" s="63" t="s">
        <v>172</v>
      </c>
      <c r="T63" s="294">
        <f>'ｼｰﾄNO.4（表-4）60頁'!G14</f>
        <v>38</v>
      </c>
      <c r="U63" s="325">
        <v>40.1</v>
      </c>
      <c r="V63" s="99">
        <f>P55*Q55*R63*T63*U63</f>
        <v>0</v>
      </c>
      <c r="W63" s="554"/>
    </row>
    <row r="64" spans="1:23" ht="15" customHeight="1">
      <c r="A64" s="541"/>
      <c r="B64" s="568"/>
      <c r="C64" s="542"/>
      <c r="D64" s="554"/>
      <c r="E64" s="565"/>
      <c r="F64" s="544"/>
      <c r="G64" s="64" t="s">
        <v>66</v>
      </c>
      <c r="H64" s="297">
        <f>'ｼｰﾄNO.4（表-4）60頁'!G15</f>
        <v>2</v>
      </c>
      <c r="I64" s="326">
        <v>64.180000000000007</v>
      </c>
      <c r="J64" s="221">
        <f>D55*E55*F63*H64*I64</f>
        <v>0</v>
      </c>
      <c r="K64" s="554"/>
      <c r="M64" s="571"/>
      <c r="N64" s="571"/>
      <c r="O64" s="542"/>
      <c r="P64" s="554"/>
      <c r="Q64" s="565"/>
      <c r="R64" s="544"/>
      <c r="S64" s="64" t="s">
        <v>173</v>
      </c>
      <c r="T64" s="297">
        <f>'ｼｰﾄNO.4（表-4）60頁'!G15</f>
        <v>2</v>
      </c>
      <c r="U64" s="326">
        <v>64.180000000000007</v>
      </c>
      <c r="V64" s="221">
        <f>P55*Q55*R63*T64*U64</f>
        <v>0</v>
      </c>
      <c r="W64" s="554"/>
    </row>
    <row r="65" spans="1:23" ht="15" customHeight="1">
      <c r="A65" s="541"/>
      <c r="B65" s="568"/>
      <c r="C65" s="540" t="s">
        <v>248</v>
      </c>
      <c r="D65" s="554"/>
      <c r="E65" s="565"/>
      <c r="F65" s="543">
        <f>IF(('ｼｰﾄNO.4（表-4）60頁'!D70-'ｼｰﾄNO.4（表-4）60頁'!H70)/60&gt;0,('ｼｰﾄNO.4（表-4）60頁'!D70-'ｼｰﾄNO.4（表-4）60頁'!H70)/60,0)</f>
        <v>0.18333333333333332</v>
      </c>
      <c r="G65" s="63" t="s">
        <v>65</v>
      </c>
      <c r="H65" s="294">
        <f>'ｼｰﾄNO.4（表-4）60頁'!G16</f>
        <v>145.35</v>
      </c>
      <c r="I65" s="325">
        <v>40.1</v>
      </c>
      <c r="J65" s="99">
        <f>D55*E55*F65*H65*I65</f>
        <v>365449.14449999999</v>
      </c>
      <c r="K65" s="554"/>
      <c r="M65" s="571"/>
      <c r="N65" s="571"/>
      <c r="O65" s="540" t="s">
        <v>241</v>
      </c>
      <c r="P65" s="554"/>
      <c r="Q65" s="565"/>
      <c r="R65" s="543">
        <f>IF(('ｼｰﾄNO.4（表-4）60頁'!D70-'ｼｰﾄNO.4（表-4）60頁'!H70)/60&gt;0,('ｼｰﾄNO.4（表-4）60頁'!D70-'ｼｰﾄNO.4（表-4）60頁'!H70)/60,0)</f>
        <v>0.18333333333333332</v>
      </c>
      <c r="S65" s="63" t="s">
        <v>172</v>
      </c>
      <c r="T65" s="294">
        <f>'ｼｰﾄNO.4（表-4）60頁'!G16</f>
        <v>145.35</v>
      </c>
      <c r="U65" s="325">
        <v>40.1</v>
      </c>
      <c r="V65" s="99">
        <f>P55*Q55*R65*T65*U65</f>
        <v>153873.32399999999</v>
      </c>
      <c r="W65" s="554"/>
    </row>
    <row r="66" spans="1:23" ht="15" customHeight="1">
      <c r="A66" s="541"/>
      <c r="B66" s="568"/>
      <c r="C66" s="542"/>
      <c r="D66" s="554"/>
      <c r="E66" s="565"/>
      <c r="F66" s="544"/>
      <c r="G66" s="64" t="s">
        <v>66</v>
      </c>
      <c r="H66" s="297">
        <f>'ｼｰﾄNO.4（表-4）60頁'!G17</f>
        <v>7.65</v>
      </c>
      <c r="I66" s="326">
        <v>64.180000000000007</v>
      </c>
      <c r="J66" s="221">
        <f>D55*E55*F65*H66*I66</f>
        <v>30784.257900000001</v>
      </c>
      <c r="K66" s="554"/>
      <c r="M66" s="571"/>
      <c r="N66" s="571"/>
      <c r="O66" s="542"/>
      <c r="P66" s="554"/>
      <c r="Q66" s="565"/>
      <c r="R66" s="544"/>
      <c r="S66" s="64" t="s">
        <v>173</v>
      </c>
      <c r="T66" s="297">
        <f>'ｼｰﾄNO.4（表-4）60頁'!G17</f>
        <v>7.65</v>
      </c>
      <c r="U66" s="326">
        <v>64.180000000000007</v>
      </c>
      <c r="V66" s="221">
        <f>P55*Q55*R65*T66*U66</f>
        <v>12961.792800000001</v>
      </c>
      <c r="W66" s="554"/>
    </row>
    <row r="67" spans="1:23" ht="15" customHeight="1">
      <c r="A67" s="541"/>
      <c r="B67" s="568"/>
      <c r="C67" s="540" t="s">
        <v>253</v>
      </c>
      <c r="D67" s="554"/>
      <c r="E67" s="565"/>
      <c r="F67" s="543">
        <f>IF(('ｼｰﾄNO.4（表-4）60頁'!D72-'ｼｰﾄNO.4（表-4）60頁'!H72)/60&gt;0,('ｼｰﾄNO.4（表-4）60頁'!D72-'ｼｰﾄNO.4（表-4）60頁'!H72)/60,0)</f>
        <v>6.6666666666666666E-2</v>
      </c>
      <c r="G67" s="63" t="s">
        <v>65</v>
      </c>
      <c r="H67" s="294">
        <f>'ｼｰﾄNO.4（表-4）60頁'!G18</f>
        <v>44.65</v>
      </c>
      <c r="I67" s="325">
        <v>40.1</v>
      </c>
      <c r="J67" s="99">
        <f>D55*E55*F67*H67*I67</f>
        <v>40822.601999999999</v>
      </c>
      <c r="K67" s="554"/>
      <c r="M67" s="571"/>
      <c r="N67" s="571"/>
      <c r="O67" s="540" t="s">
        <v>253</v>
      </c>
      <c r="P67" s="554"/>
      <c r="Q67" s="565"/>
      <c r="R67" s="543">
        <f>IF(('ｼｰﾄNO.4（表-4）60頁'!D72-'ｼｰﾄNO.4（表-4）60頁'!H72)/60&gt;0,('ｼｰﾄNO.4（表-4）60頁'!D72-'ｼｰﾄNO.4（表-4）60頁'!H72)/60,0)</f>
        <v>6.6666666666666666E-2</v>
      </c>
      <c r="S67" s="63" t="s">
        <v>172</v>
      </c>
      <c r="T67" s="294">
        <f>'ｼｰﾄNO.4（表-4）60頁'!G18</f>
        <v>44.65</v>
      </c>
      <c r="U67" s="325">
        <v>40.1</v>
      </c>
      <c r="V67" s="99">
        <f>P55*Q55*R67*T67*U67</f>
        <v>17188.464</v>
      </c>
      <c r="W67" s="554"/>
    </row>
    <row r="68" spans="1:23" ht="15" customHeight="1">
      <c r="A68" s="541"/>
      <c r="B68" s="568"/>
      <c r="C68" s="542"/>
      <c r="D68" s="554"/>
      <c r="E68" s="565"/>
      <c r="F68" s="544"/>
      <c r="G68" s="64" t="s">
        <v>66</v>
      </c>
      <c r="H68" s="297">
        <f>'ｼｰﾄNO.4（表-4）60頁'!G19</f>
        <v>2.35</v>
      </c>
      <c r="I68" s="326">
        <v>64.180000000000007</v>
      </c>
      <c r="J68" s="221">
        <f>D55*E55*F67*H68*I68</f>
        <v>3438.7644000000009</v>
      </c>
      <c r="K68" s="554"/>
      <c r="M68" s="571"/>
      <c r="N68" s="571"/>
      <c r="O68" s="542"/>
      <c r="P68" s="554"/>
      <c r="Q68" s="565"/>
      <c r="R68" s="544"/>
      <c r="S68" s="64" t="s">
        <v>173</v>
      </c>
      <c r="T68" s="297">
        <f>'ｼｰﾄNO.4（表-4）60頁'!G19</f>
        <v>2.35</v>
      </c>
      <c r="U68" s="326">
        <v>64.180000000000007</v>
      </c>
      <c r="V68" s="221">
        <f>P55*Q55*R67*T68*U68</f>
        <v>1447.9008000000001</v>
      </c>
      <c r="W68" s="554"/>
    </row>
    <row r="69" spans="1:23" ht="15" customHeight="1">
      <c r="A69" s="541"/>
      <c r="B69" s="568"/>
      <c r="C69" s="540" t="s">
        <v>260</v>
      </c>
      <c r="D69" s="554"/>
      <c r="E69" s="565"/>
      <c r="F69" s="543">
        <f>IF(('ｼｰﾄNO.4（表-4）60頁'!D74-'ｼｰﾄNO.4（表-4）60頁'!H74)/60&gt;0,('ｼｰﾄNO.4（表-4）60頁'!D74-'ｼｰﾄNO.4（表-4）60頁'!H74)/60,0)</f>
        <v>0</v>
      </c>
      <c r="G69" s="63" t="s">
        <v>65</v>
      </c>
      <c r="H69" s="294">
        <f>'ｼｰﾄNO.4（表-4）60頁'!G20</f>
        <v>159.6</v>
      </c>
      <c r="I69" s="325">
        <v>40.1</v>
      </c>
      <c r="J69" s="99">
        <f>D55*E55*F69*H69*I69</f>
        <v>0</v>
      </c>
      <c r="K69" s="554"/>
      <c r="M69" s="571"/>
      <c r="N69" s="571"/>
      <c r="O69" s="540" t="s">
        <v>274</v>
      </c>
      <c r="P69" s="554"/>
      <c r="Q69" s="565"/>
      <c r="R69" s="543">
        <f>IF(('ｼｰﾄNO.4（表-4）60頁'!D74-'ｼｰﾄNO.4（表-4）60頁'!H74)/60&gt;0,('ｼｰﾄNO.4（表-4）60頁'!D74-'ｼｰﾄNO.4（表-4）60頁'!H74)/60,0)</f>
        <v>0</v>
      </c>
      <c r="S69" s="63" t="s">
        <v>172</v>
      </c>
      <c r="T69" s="294">
        <f>'ｼｰﾄNO.4（表-4）60頁'!G20</f>
        <v>159.6</v>
      </c>
      <c r="U69" s="325">
        <v>40.1</v>
      </c>
      <c r="V69" s="99">
        <f>P55*Q55*R69*T69*U69</f>
        <v>0</v>
      </c>
      <c r="W69" s="554"/>
    </row>
    <row r="70" spans="1:23" ht="15" customHeight="1">
      <c r="A70" s="541"/>
      <c r="B70" s="568"/>
      <c r="C70" s="542"/>
      <c r="D70" s="554"/>
      <c r="E70" s="565"/>
      <c r="F70" s="544"/>
      <c r="G70" s="64" t="s">
        <v>66</v>
      </c>
      <c r="H70" s="297">
        <f>'ｼｰﾄNO.4（表-4）60頁'!G21</f>
        <v>8.4</v>
      </c>
      <c r="I70" s="326">
        <v>64.180000000000007</v>
      </c>
      <c r="J70" s="221">
        <f>D55*E55*F69*H70*I70</f>
        <v>0</v>
      </c>
      <c r="K70" s="554"/>
      <c r="M70" s="571"/>
      <c r="N70" s="571"/>
      <c r="O70" s="542"/>
      <c r="P70" s="554"/>
      <c r="Q70" s="565"/>
      <c r="R70" s="544"/>
      <c r="S70" s="64" t="s">
        <v>173</v>
      </c>
      <c r="T70" s="297">
        <f>'ｼｰﾄNO.4（表-4）60頁'!G21</f>
        <v>8.4</v>
      </c>
      <c r="U70" s="326">
        <v>64.180000000000007</v>
      </c>
      <c r="V70" s="221">
        <f>P55*Q55*R69*T70*U70</f>
        <v>0</v>
      </c>
      <c r="W70" s="554"/>
    </row>
    <row r="71" spans="1:23" ht="15" customHeight="1">
      <c r="A71" s="541"/>
      <c r="B71" s="568"/>
      <c r="C71" s="540" t="s">
        <v>261</v>
      </c>
      <c r="D71" s="554"/>
      <c r="E71" s="565"/>
      <c r="F71" s="543">
        <f>IF(('ｼｰﾄNO.4（表-4）60頁'!D76-'ｼｰﾄNO.4（表-4）60頁'!H76)/60&gt;0,('ｼｰﾄNO.4（表-4）60頁'!D76-'ｼｰﾄNO.4（表-4）60頁'!H76)/60,0)</f>
        <v>0.05</v>
      </c>
      <c r="G71" s="63" t="s">
        <v>65</v>
      </c>
      <c r="H71" s="294">
        <f>'ｼｰﾄNO.4（表-4）60頁'!G22</f>
        <v>746.69999999999993</v>
      </c>
      <c r="I71" s="325">
        <v>40.1</v>
      </c>
      <c r="J71" s="99">
        <f>D55*E55*F71*H71*I71</f>
        <v>512019.65700000001</v>
      </c>
      <c r="K71" s="554"/>
      <c r="M71" s="571"/>
      <c r="N71" s="571"/>
      <c r="O71" s="540" t="s">
        <v>229</v>
      </c>
      <c r="P71" s="554"/>
      <c r="Q71" s="565"/>
      <c r="R71" s="543">
        <f>IF(('ｼｰﾄNO.4（表-4）60頁'!D76-'ｼｰﾄNO.4（表-4）60頁'!H76)/60&gt;0,('ｼｰﾄNO.4（表-4）60頁'!D76-'ｼｰﾄNO.4（表-4）60頁'!H76)/60,0)</f>
        <v>0.05</v>
      </c>
      <c r="S71" s="63" t="s">
        <v>172</v>
      </c>
      <c r="T71" s="294">
        <f>'ｼｰﾄNO.4（表-4）60頁'!G22</f>
        <v>746.69999999999993</v>
      </c>
      <c r="U71" s="325">
        <v>40.1</v>
      </c>
      <c r="V71" s="99">
        <f>P55*Q55*R71*T71*U71</f>
        <v>215587.22399999999</v>
      </c>
      <c r="W71" s="554"/>
    </row>
    <row r="72" spans="1:23" ht="15" customHeight="1">
      <c r="A72" s="541"/>
      <c r="B72" s="568"/>
      <c r="C72" s="542"/>
      <c r="D72" s="554"/>
      <c r="E72" s="565"/>
      <c r="F72" s="544"/>
      <c r="G72" s="64" t="s">
        <v>66</v>
      </c>
      <c r="H72" s="297">
        <f>'ｼｰﾄNO.4（表-4）60頁'!G23</f>
        <v>39.300000000000004</v>
      </c>
      <c r="I72" s="326">
        <v>64.180000000000007</v>
      </c>
      <c r="J72" s="221">
        <f>D55*E55*F71*H72*I72</f>
        <v>43130.885400000014</v>
      </c>
      <c r="K72" s="554"/>
      <c r="M72" s="571"/>
      <c r="N72" s="571"/>
      <c r="O72" s="542"/>
      <c r="P72" s="554"/>
      <c r="Q72" s="565"/>
      <c r="R72" s="544"/>
      <c r="S72" s="64" t="s">
        <v>173</v>
      </c>
      <c r="T72" s="297">
        <f>'ｼｰﾄNO.4（表-4）60頁'!G23</f>
        <v>39.300000000000004</v>
      </c>
      <c r="U72" s="326">
        <v>64.180000000000007</v>
      </c>
      <c r="V72" s="221">
        <f>P55*Q55*R71*T72*U72</f>
        <v>18160.372800000005</v>
      </c>
      <c r="W72" s="554"/>
    </row>
    <row r="73" spans="1:23" ht="15" customHeight="1">
      <c r="A73" s="541"/>
      <c r="B73" s="568"/>
      <c r="C73" s="540" t="s">
        <v>234</v>
      </c>
      <c r="D73" s="554"/>
      <c r="E73" s="565"/>
      <c r="F73" s="543">
        <f>IF(('ｼｰﾄNO.4（表-4）60頁'!D78-'ｼｰﾄNO.4（表-4）60頁'!H78)/60&gt;0,('ｼｰﾄNO.4（表-4）60頁'!D78-'ｼｰﾄNO.4（表-4）60頁'!H78)/60,0)</f>
        <v>3.3333333333333333E-2</v>
      </c>
      <c r="G73" s="63" t="s">
        <v>65</v>
      </c>
      <c r="H73" s="294">
        <f>'ｼｰﾄNO.4（表-4）60頁'!G24</f>
        <v>139.65</v>
      </c>
      <c r="I73" s="325">
        <v>40.1</v>
      </c>
      <c r="J73" s="99">
        <f>D55*E55*F73*H73*I73</f>
        <v>63839.60100000001</v>
      </c>
      <c r="K73" s="554"/>
      <c r="M73" s="571"/>
      <c r="N73" s="571"/>
      <c r="O73" s="540" t="s">
        <v>250</v>
      </c>
      <c r="P73" s="554"/>
      <c r="Q73" s="565"/>
      <c r="R73" s="543">
        <f>IF(('ｼｰﾄNO.4（表-4）60頁'!D78-'ｼｰﾄNO.4（表-4）60頁'!H78)/60&gt;0,('ｼｰﾄNO.4（表-4）60頁'!D78-'ｼｰﾄNO.4（表-4）60頁'!H78)/60,0)</f>
        <v>3.3333333333333333E-2</v>
      </c>
      <c r="S73" s="63" t="s">
        <v>172</v>
      </c>
      <c r="T73" s="294">
        <f>'ｼｰﾄNO.4（表-4）60頁'!G24</f>
        <v>139.65</v>
      </c>
      <c r="U73" s="325">
        <v>40.1</v>
      </c>
      <c r="V73" s="99">
        <f>P55*Q55*R73*T73*U73</f>
        <v>26879.832000000002</v>
      </c>
      <c r="W73" s="554"/>
    </row>
    <row r="74" spans="1:23" ht="15" customHeight="1">
      <c r="A74" s="541"/>
      <c r="B74" s="568"/>
      <c r="C74" s="542"/>
      <c r="D74" s="554"/>
      <c r="E74" s="565"/>
      <c r="F74" s="544"/>
      <c r="G74" s="64" t="s">
        <v>66</v>
      </c>
      <c r="H74" s="297">
        <f>'ｼｰﾄNO.4（表-4）60頁'!G25</f>
        <v>7.3500000000000005</v>
      </c>
      <c r="I74" s="326">
        <v>64.180000000000007</v>
      </c>
      <c r="J74" s="221">
        <f>D55*E55*F73*H74*I74</f>
        <v>5377.6422000000011</v>
      </c>
      <c r="K74" s="554"/>
      <c r="M74" s="571"/>
      <c r="N74" s="571"/>
      <c r="O74" s="542"/>
      <c r="P74" s="554"/>
      <c r="Q74" s="565"/>
      <c r="R74" s="544"/>
      <c r="S74" s="64" t="s">
        <v>173</v>
      </c>
      <c r="T74" s="297">
        <f>'ｼｰﾄNO.4（表-4）60頁'!G25</f>
        <v>7.3500000000000005</v>
      </c>
      <c r="U74" s="326">
        <v>64.180000000000007</v>
      </c>
      <c r="V74" s="221">
        <f>P55*Q55*R73*T74*U74</f>
        <v>2264.2704000000003</v>
      </c>
      <c r="W74" s="554"/>
    </row>
    <row r="75" spans="1:23" ht="15" customHeight="1">
      <c r="A75" s="541"/>
      <c r="B75" s="568"/>
      <c r="C75" s="540" t="s">
        <v>235</v>
      </c>
      <c r="D75" s="554"/>
      <c r="E75" s="565"/>
      <c r="F75" s="543">
        <f>IF(('ｼｰﾄNO.4（表-4）60頁'!D80-'ｼｰﾄNO.4（表-4）60頁'!H80)/60&gt;0,('ｼｰﾄNO.4（表-4）60頁'!D80-'ｼｰﾄNO.4（表-4）60頁'!H80)/60,0)</f>
        <v>0</v>
      </c>
      <c r="G75" s="63" t="s">
        <v>65</v>
      </c>
      <c r="H75" s="294">
        <f>'ｼｰﾄNO.4（表-4）60頁'!G26</f>
        <v>41.8</v>
      </c>
      <c r="I75" s="325">
        <v>40.1</v>
      </c>
      <c r="J75" s="99">
        <f>D55*E55*F75*H75*I75</f>
        <v>0</v>
      </c>
      <c r="K75" s="554"/>
      <c r="M75" s="571"/>
      <c r="N75" s="571"/>
      <c r="O75" s="540" t="s">
        <v>225</v>
      </c>
      <c r="P75" s="554"/>
      <c r="Q75" s="565"/>
      <c r="R75" s="543">
        <f>IF(('ｼｰﾄNO.4（表-4）60頁'!D80-'ｼｰﾄNO.4（表-4）60頁'!H80)/60&gt;0,('ｼｰﾄNO.4（表-4）60頁'!D80-'ｼｰﾄNO.4（表-4）60頁'!H80)/60,0)</f>
        <v>0</v>
      </c>
      <c r="S75" s="63" t="s">
        <v>172</v>
      </c>
      <c r="T75" s="294">
        <f>'ｼｰﾄNO.4（表-4）60頁'!G26</f>
        <v>41.8</v>
      </c>
      <c r="U75" s="325">
        <v>40.1</v>
      </c>
      <c r="V75" s="99">
        <f>P55*Q55*R75*T75*U75</f>
        <v>0</v>
      </c>
      <c r="W75" s="554"/>
    </row>
    <row r="76" spans="1:23" ht="15" customHeight="1">
      <c r="A76" s="541"/>
      <c r="B76" s="568"/>
      <c r="C76" s="542"/>
      <c r="D76" s="554"/>
      <c r="E76" s="565"/>
      <c r="F76" s="544"/>
      <c r="G76" s="64" t="s">
        <v>66</v>
      </c>
      <c r="H76" s="297">
        <f>'ｼｰﾄNO.4（表-4）60頁'!G27</f>
        <v>2.2000000000000002</v>
      </c>
      <c r="I76" s="326">
        <v>64.180000000000007</v>
      </c>
      <c r="J76" s="221">
        <f>D55*E55*F75*H76*I76</f>
        <v>0</v>
      </c>
      <c r="K76" s="554"/>
      <c r="M76" s="571"/>
      <c r="N76" s="571"/>
      <c r="O76" s="542"/>
      <c r="P76" s="554"/>
      <c r="Q76" s="565"/>
      <c r="R76" s="544"/>
      <c r="S76" s="64" t="s">
        <v>173</v>
      </c>
      <c r="T76" s="297">
        <f>'ｼｰﾄNO.4（表-4）60頁'!G27</f>
        <v>2.2000000000000002</v>
      </c>
      <c r="U76" s="326">
        <v>64.180000000000007</v>
      </c>
      <c r="V76" s="221">
        <f>P55*Q55*R75*T76*U76</f>
        <v>0</v>
      </c>
      <c r="W76" s="554"/>
    </row>
    <row r="77" spans="1:23" ht="15" customHeight="1">
      <c r="A77" s="541"/>
      <c r="B77" s="568"/>
      <c r="C77" s="540" t="s">
        <v>262</v>
      </c>
      <c r="D77" s="554"/>
      <c r="E77" s="565"/>
      <c r="F77" s="543">
        <f>IF(('ｼｰﾄNO.4（表-4）60頁'!D82-'ｼｰﾄNO.4（表-4）60頁'!H82)/60&gt;0,('ｼｰﾄNO.4（表-4）60頁'!D82-'ｼｰﾄNO.4（表-4）60頁'!H82)/60,0)</f>
        <v>1.6666666666666666E-2</v>
      </c>
      <c r="G77" s="63" t="s">
        <v>65</v>
      </c>
      <c r="H77" s="294">
        <f>'ｼｰﾄNO.4（表-4）60頁'!G28</f>
        <v>748.59999999999991</v>
      </c>
      <c r="I77" s="325">
        <v>40.1</v>
      </c>
      <c r="J77" s="99">
        <f>D55*E55*F77*H77*I77</f>
        <v>171107.50199999998</v>
      </c>
      <c r="K77" s="554"/>
      <c r="M77" s="571"/>
      <c r="N77" s="571"/>
      <c r="O77" s="540" t="s">
        <v>236</v>
      </c>
      <c r="P77" s="554"/>
      <c r="Q77" s="565"/>
      <c r="R77" s="543">
        <f>IF(('ｼｰﾄNO.4（表-4）60頁'!D82-'ｼｰﾄNO.4（表-4）60頁'!H82)/60&gt;0,('ｼｰﾄNO.4（表-4）60頁'!D82-'ｼｰﾄNO.4（表-4）60頁'!H82)/60,0)</f>
        <v>1.6666666666666666E-2</v>
      </c>
      <c r="S77" s="63" t="s">
        <v>172</v>
      </c>
      <c r="T77" s="294">
        <f>'ｼｰﾄNO.4（表-4）60頁'!G28</f>
        <v>748.59999999999991</v>
      </c>
      <c r="U77" s="325">
        <v>40.1</v>
      </c>
      <c r="V77" s="99">
        <f>P55*Q55*R77*T77*U77</f>
        <v>72045.263999999996</v>
      </c>
      <c r="W77" s="554"/>
    </row>
    <row r="78" spans="1:23" ht="15" customHeight="1">
      <c r="A78" s="541"/>
      <c r="B78" s="568"/>
      <c r="C78" s="541"/>
      <c r="D78" s="554"/>
      <c r="E78" s="565"/>
      <c r="F78" s="544"/>
      <c r="G78" s="65" t="s">
        <v>66</v>
      </c>
      <c r="H78" s="299">
        <f>'ｼｰﾄNO.4（表-4）60頁'!G29</f>
        <v>39.400000000000006</v>
      </c>
      <c r="I78" s="327">
        <v>64.180000000000007</v>
      </c>
      <c r="J78" s="300">
        <f>D55*E55*F77*H78*I78</f>
        <v>14413.544400000004</v>
      </c>
      <c r="K78" s="555"/>
      <c r="M78" s="571"/>
      <c r="N78" s="572"/>
      <c r="O78" s="542"/>
      <c r="P78" s="555"/>
      <c r="Q78" s="566"/>
      <c r="R78" s="544"/>
      <c r="S78" s="64" t="s">
        <v>173</v>
      </c>
      <c r="T78" s="297">
        <f>'ｼｰﾄNO.4（表-4）60頁'!G29</f>
        <v>39.400000000000006</v>
      </c>
      <c r="U78" s="326">
        <v>64.180000000000007</v>
      </c>
      <c r="V78" s="221">
        <f>P55*Q55*R77*T78*U78</f>
        <v>6068.8608000000013</v>
      </c>
      <c r="W78" s="555"/>
    </row>
    <row r="79" spans="1:23" ht="21.75" customHeight="1">
      <c r="A79" s="542"/>
      <c r="B79" s="301" t="s">
        <v>125</v>
      </c>
      <c r="C79" s="562">
        <f>SUM(K7:K78)</f>
        <v>11749397.796</v>
      </c>
      <c r="D79" s="563"/>
      <c r="E79" s="563"/>
      <c r="F79" s="563"/>
      <c r="G79" s="563"/>
      <c r="H79" s="563"/>
      <c r="I79" s="563"/>
      <c r="J79" s="563"/>
      <c r="K79" s="564"/>
      <c r="M79" s="571"/>
      <c r="N79" s="570" t="s">
        <v>897</v>
      </c>
      <c r="O79" s="540" t="s">
        <v>224</v>
      </c>
      <c r="P79" s="553">
        <f>'ｼｰﾄNO.3（表-3）59頁'!F38</f>
        <v>18</v>
      </c>
      <c r="Q79" s="553">
        <f>'ｼｰﾄNO.3（表-3）59頁'!$F$30</f>
        <v>9</v>
      </c>
      <c r="R79" s="543">
        <f>IF(('ｼｰﾄNO.4（表-4）60頁'!P6-'ｼｰﾄNO.4（表-4）60頁'!T6)/60&gt;0,('ｼｰﾄNO.4（表-4）60頁'!P6-'ｼｰﾄNO.4（表-4）60頁'!T6)/60,0)</f>
        <v>0</v>
      </c>
      <c r="S79" s="63" t="s">
        <v>65</v>
      </c>
      <c r="T79" s="294">
        <f>'ｼｰﾄNO.4（表-4）60頁'!S6</f>
        <v>772.34999999999991</v>
      </c>
      <c r="U79" s="325">
        <v>40.1</v>
      </c>
      <c r="V79" s="99">
        <f>P79*Q79*R79*T79*U79</f>
        <v>0</v>
      </c>
      <c r="W79" s="553">
        <f>SUM(V79:V102)</f>
        <v>23423271.228</v>
      </c>
    </row>
    <row r="80" spans="1:23" ht="15" customHeight="1">
      <c r="M80" s="571"/>
      <c r="N80" s="571"/>
      <c r="O80" s="542"/>
      <c r="P80" s="554"/>
      <c r="Q80" s="565"/>
      <c r="R80" s="544"/>
      <c r="S80" s="64" t="s">
        <v>66</v>
      </c>
      <c r="T80" s="297">
        <f>'ｼｰﾄNO.4（表-4）60頁'!S7</f>
        <v>40.650000000000006</v>
      </c>
      <c r="U80" s="326">
        <v>64.180000000000007</v>
      </c>
      <c r="V80" s="221">
        <f>P79*Q79*R79*T80*U80</f>
        <v>0</v>
      </c>
      <c r="W80" s="554"/>
    </row>
    <row r="81" spans="1:23" ht="15" customHeight="1">
      <c r="M81" s="571"/>
      <c r="N81" s="571"/>
      <c r="O81" s="540" t="s">
        <v>239</v>
      </c>
      <c r="P81" s="554"/>
      <c r="Q81" s="565"/>
      <c r="R81" s="543">
        <f>IF(('ｼｰﾄNO.4（表-4）60頁'!P8-'ｼｰﾄNO.4（表-4）60頁'!T8)/60&gt;0,('ｼｰﾄNO.4（表-4）60頁'!P8-'ｼｰﾄNO.4（表-4）60頁'!T8)/60,0)</f>
        <v>0</v>
      </c>
      <c r="S81" s="63" t="s">
        <v>65</v>
      </c>
      <c r="T81" s="294">
        <f>'ｼｰﾄNO.4（表-4）60頁'!S8</f>
        <v>148.19999999999999</v>
      </c>
      <c r="U81" s="325">
        <v>40.1</v>
      </c>
      <c r="V81" s="99">
        <f>P79*Q79*R81*T81*U81</f>
        <v>0</v>
      </c>
      <c r="W81" s="554"/>
    </row>
    <row r="82" spans="1:23" ht="15" customHeight="1">
      <c r="M82" s="571"/>
      <c r="N82" s="571"/>
      <c r="O82" s="542"/>
      <c r="P82" s="554"/>
      <c r="Q82" s="565"/>
      <c r="R82" s="544"/>
      <c r="S82" s="64" t="s">
        <v>66</v>
      </c>
      <c r="T82" s="297">
        <f>'ｼｰﾄNO.4（表-4）60頁'!S9</f>
        <v>7.8000000000000007</v>
      </c>
      <c r="U82" s="326">
        <v>64.180000000000007</v>
      </c>
      <c r="V82" s="221">
        <f>P79*Q79*R81*T82*U82</f>
        <v>0</v>
      </c>
      <c r="W82" s="554"/>
    </row>
    <row r="83" spans="1:23" ht="15" customHeight="1">
      <c r="M83" s="571"/>
      <c r="N83" s="571"/>
      <c r="O83" s="540" t="s">
        <v>281</v>
      </c>
      <c r="P83" s="554"/>
      <c r="Q83" s="565"/>
      <c r="R83" s="543">
        <f>IF(('ｼｰﾄNO.4（表-4）60頁'!P10-'ｼｰﾄNO.4（表-4）60頁'!T10)/60&gt;0,('ｼｰﾄNO.4（表-4）60頁'!P10-'ｼｰﾄNO.4（表-4）60頁'!T10)/60,0)</f>
        <v>0</v>
      </c>
      <c r="S83" s="63" t="s">
        <v>65</v>
      </c>
      <c r="T83" s="294">
        <f>'ｼｰﾄNO.4（表-4）60頁'!S10</f>
        <v>41.8</v>
      </c>
      <c r="U83" s="325">
        <v>40.1</v>
      </c>
      <c r="V83" s="99">
        <f>P79*Q79*R83*T83*U83</f>
        <v>0</v>
      </c>
      <c r="W83" s="554"/>
    </row>
    <row r="84" spans="1:23" ht="15" customHeight="1">
      <c r="M84" s="571"/>
      <c r="N84" s="571"/>
      <c r="O84" s="542"/>
      <c r="P84" s="554"/>
      <c r="Q84" s="565"/>
      <c r="R84" s="544"/>
      <c r="S84" s="64" t="s">
        <v>66</v>
      </c>
      <c r="T84" s="297">
        <f>'ｼｰﾄNO.4（表-4）60頁'!S11</f>
        <v>2.2000000000000002</v>
      </c>
      <c r="U84" s="326">
        <v>64.180000000000007</v>
      </c>
      <c r="V84" s="221">
        <f>P79*Q79*R83*T84*U84</f>
        <v>0</v>
      </c>
      <c r="W84" s="554"/>
    </row>
    <row r="85" spans="1:23" ht="15" customHeight="1">
      <c r="M85" s="571"/>
      <c r="N85" s="571"/>
      <c r="O85" s="540" t="s">
        <v>227</v>
      </c>
      <c r="P85" s="554"/>
      <c r="Q85" s="565"/>
      <c r="R85" s="543">
        <f>IF(('ｼｰﾄNO.4（表-4）60頁'!P12-'ｼｰﾄNO.4（表-4）60頁'!T12)/60&gt;0,('ｼｰﾄNO.4（表-4）60頁'!P12-'ｼｰﾄNO.4（表-4）60頁'!T12)/60,0)</f>
        <v>3.5333333333333332</v>
      </c>
      <c r="S85" s="63" t="s">
        <v>65</v>
      </c>
      <c r="T85" s="294">
        <f>'ｼｰﾄNO.4（表-4）60頁'!S12</f>
        <v>753.34999999999991</v>
      </c>
      <c r="U85" s="325">
        <v>40.1</v>
      </c>
      <c r="V85" s="99">
        <f>P79*Q79*R85*T85*U85</f>
        <v>17291823.353999998</v>
      </c>
      <c r="W85" s="554"/>
    </row>
    <row r="86" spans="1:23" ht="15" customHeight="1">
      <c r="M86" s="571"/>
      <c r="N86" s="571"/>
      <c r="O86" s="542"/>
      <c r="P86" s="554"/>
      <c r="Q86" s="565"/>
      <c r="R86" s="544"/>
      <c r="S86" s="64" t="s">
        <v>66</v>
      </c>
      <c r="T86" s="297">
        <f>'ｼｰﾄNO.4（表-4）60頁'!S13</f>
        <v>39.650000000000006</v>
      </c>
      <c r="U86" s="326">
        <v>64.180000000000007</v>
      </c>
      <c r="V86" s="221">
        <f>P79*Q79*R85*T86*U86</f>
        <v>1456607.4588000004</v>
      </c>
      <c r="W86" s="554"/>
    </row>
    <row r="87" spans="1:23" ht="15" customHeight="1">
      <c r="M87" s="571"/>
      <c r="N87" s="571"/>
      <c r="O87" s="540" t="s">
        <v>282</v>
      </c>
      <c r="P87" s="554"/>
      <c r="Q87" s="565"/>
      <c r="R87" s="543">
        <f>IF(('ｼｰﾄNO.4（表-4）60頁'!P14-'ｼｰﾄNO.4（表-4）60頁'!T14)/60&gt;0,('ｼｰﾄNO.4（表-4）60頁'!P14-'ｼｰﾄNO.4（表-4）60頁'!T14)/60,0)</f>
        <v>2.6666666666666665</v>
      </c>
      <c r="S87" s="63" t="s">
        <v>65</v>
      </c>
      <c r="T87" s="294">
        <f>'ｼｰﾄNO.4（表-4）60頁'!S14</f>
        <v>39.9</v>
      </c>
      <c r="U87" s="325">
        <v>40.1</v>
      </c>
      <c r="V87" s="99">
        <f>P79*Q79*R87*T87*U87</f>
        <v>691195.68</v>
      </c>
      <c r="W87" s="554"/>
    </row>
    <row r="88" spans="1:23" ht="15" customHeight="1">
      <c r="M88" s="571"/>
      <c r="N88" s="571"/>
      <c r="O88" s="542"/>
      <c r="P88" s="554"/>
      <c r="Q88" s="565"/>
      <c r="R88" s="544"/>
      <c r="S88" s="64" t="s">
        <v>66</v>
      </c>
      <c r="T88" s="297">
        <f>'ｼｰﾄNO.4（表-4）60頁'!S15</f>
        <v>2.1</v>
      </c>
      <c r="U88" s="326">
        <v>64.180000000000007</v>
      </c>
      <c r="V88" s="221">
        <f>P79*Q79*R87*T88*U88</f>
        <v>58224.096000000012</v>
      </c>
      <c r="W88" s="554"/>
    </row>
    <row r="89" spans="1:23" ht="15" customHeight="1">
      <c r="M89" s="571"/>
      <c r="N89" s="571"/>
      <c r="O89" s="540" t="s">
        <v>265</v>
      </c>
      <c r="P89" s="554"/>
      <c r="Q89" s="565"/>
      <c r="R89" s="543">
        <f>IF(('ｼｰﾄNO.4（表-4）60頁'!P16-'ｼｰﾄNO.4（表-4）60頁'!T16)/60&gt;0,('ｼｰﾄNO.4（表-4）60頁'!P16-'ｼｰﾄNO.4（表-4）60頁'!T16)/60,0)</f>
        <v>3.3333333333333335</v>
      </c>
      <c r="S89" s="63" t="s">
        <v>65</v>
      </c>
      <c r="T89" s="294">
        <f>'ｼｰﾄNO.4（表-4）60頁'!S16</f>
        <v>147.25</v>
      </c>
      <c r="U89" s="325">
        <v>40.1</v>
      </c>
      <c r="V89" s="99">
        <f>P79*Q79*R89*T89*U89</f>
        <v>3188551.5</v>
      </c>
      <c r="W89" s="554"/>
    </row>
    <row r="90" spans="1:23" ht="15" customHeight="1">
      <c r="A90" s="302"/>
      <c r="B90" s="303"/>
      <c r="C90" s="304"/>
      <c r="D90" s="303"/>
      <c r="E90" s="303"/>
      <c r="F90" s="305"/>
      <c r="G90" s="303"/>
      <c r="H90" s="306"/>
      <c r="I90" s="305"/>
      <c r="J90" s="306"/>
      <c r="K90" s="307"/>
      <c r="M90" s="571"/>
      <c r="N90" s="571"/>
      <c r="O90" s="542"/>
      <c r="P90" s="554"/>
      <c r="Q90" s="565"/>
      <c r="R90" s="544"/>
      <c r="S90" s="64" t="s">
        <v>66</v>
      </c>
      <c r="T90" s="297">
        <f>'ｼｰﾄNO.4（表-4）60頁'!S17</f>
        <v>7.75</v>
      </c>
      <c r="U90" s="326">
        <v>64.180000000000007</v>
      </c>
      <c r="V90" s="221">
        <f>P79*Q79*R89*T90*U90</f>
        <v>268593.30000000005</v>
      </c>
      <c r="W90" s="554"/>
    </row>
    <row r="91" spans="1:23" ht="15" customHeight="1">
      <c r="A91" s="308"/>
      <c r="B91" s="309"/>
      <c r="C91" s="310"/>
      <c r="D91" s="309"/>
      <c r="E91" s="309"/>
      <c r="F91" s="311"/>
      <c r="G91" s="309"/>
      <c r="H91" s="312"/>
      <c r="I91" s="311"/>
      <c r="J91" s="312"/>
      <c r="K91" s="313"/>
      <c r="M91" s="571"/>
      <c r="N91" s="571"/>
      <c r="O91" s="540" t="s">
        <v>284</v>
      </c>
      <c r="P91" s="554"/>
      <c r="Q91" s="565"/>
      <c r="R91" s="543">
        <f>IF(('ｼｰﾄNO.4（表-4）60頁'!P18-'ｼｰﾄNO.4（表-4）60頁'!T18)/60&gt;0,('ｼｰﾄNO.4（表-4）60頁'!P18-'ｼｰﾄNO.4（表-4）60頁'!T18)/60,0)</f>
        <v>1.6666666666666666E-2</v>
      </c>
      <c r="S91" s="63" t="s">
        <v>65</v>
      </c>
      <c r="T91" s="294">
        <f>'ｼｰﾄNO.4（表-4）60頁'!S18</f>
        <v>56.05</v>
      </c>
      <c r="U91" s="325">
        <v>40.1</v>
      </c>
      <c r="V91" s="99">
        <f>P79*Q79*R91*T91*U91</f>
        <v>6068.5335000000005</v>
      </c>
      <c r="W91" s="554"/>
    </row>
    <row r="92" spans="1:23" ht="15" customHeight="1">
      <c r="A92" s="576" t="s">
        <v>619</v>
      </c>
      <c r="B92" s="577"/>
      <c r="C92" s="577"/>
      <c r="D92" s="577"/>
      <c r="E92" s="577"/>
      <c r="F92" s="577"/>
      <c r="G92" s="577"/>
      <c r="H92" s="577"/>
      <c r="I92" s="577"/>
      <c r="J92" s="577"/>
      <c r="K92" s="578"/>
      <c r="M92" s="571"/>
      <c r="N92" s="571"/>
      <c r="O92" s="542"/>
      <c r="P92" s="554"/>
      <c r="Q92" s="565"/>
      <c r="R92" s="544"/>
      <c r="S92" s="64" t="s">
        <v>66</v>
      </c>
      <c r="T92" s="297">
        <f>'ｼｰﾄNO.4（表-4）60頁'!S19</f>
        <v>2.95</v>
      </c>
      <c r="U92" s="326">
        <v>64.180000000000007</v>
      </c>
      <c r="V92" s="221">
        <f>P79*Q79*R91*T92*U92</f>
        <v>511.19370000000009</v>
      </c>
      <c r="W92" s="554"/>
    </row>
    <row r="93" spans="1:23" ht="15" customHeight="1">
      <c r="A93" s="576"/>
      <c r="B93" s="577"/>
      <c r="C93" s="577"/>
      <c r="D93" s="577"/>
      <c r="E93" s="577"/>
      <c r="F93" s="577"/>
      <c r="G93" s="577"/>
      <c r="H93" s="577"/>
      <c r="I93" s="577"/>
      <c r="J93" s="577"/>
      <c r="K93" s="578"/>
      <c r="M93" s="571"/>
      <c r="N93" s="571"/>
      <c r="O93" s="540" t="s">
        <v>285</v>
      </c>
      <c r="P93" s="554"/>
      <c r="Q93" s="565"/>
      <c r="R93" s="543">
        <f>IF(('ｼｰﾄNO.4（表-4）60頁'!P20-'ｼｰﾄNO.4（表-4）60頁'!T20)/60&gt;0,('ｼｰﾄNO.4（表-4）60頁'!P20-'ｼｰﾄNO.4（表-4）60頁'!T20)/60,0)</f>
        <v>3.3333333333333333E-2</v>
      </c>
      <c r="S93" s="63" t="s">
        <v>65</v>
      </c>
      <c r="T93" s="294">
        <f>'ｼｰﾄNO.4（表-4）60頁'!S20</f>
        <v>158.65</v>
      </c>
      <c r="U93" s="325">
        <v>40.1</v>
      </c>
      <c r="V93" s="99">
        <f>P79*Q79*R93*T93*U93</f>
        <v>34354.071000000004</v>
      </c>
      <c r="W93" s="554"/>
    </row>
    <row r="94" spans="1:23" ht="15" customHeight="1">
      <c r="A94" s="308"/>
      <c r="B94" s="309"/>
      <c r="C94" s="310"/>
      <c r="D94" s="309"/>
      <c r="E94" s="309"/>
      <c r="F94" s="311"/>
      <c r="G94" s="309"/>
      <c r="H94" s="312"/>
      <c r="I94" s="311"/>
      <c r="J94" s="312"/>
      <c r="K94" s="313"/>
      <c r="M94" s="571"/>
      <c r="N94" s="571"/>
      <c r="O94" s="542"/>
      <c r="P94" s="554"/>
      <c r="Q94" s="565"/>
      <c r="R94" s="544"/>
      <c r="S94" s="64" t="s">
        <v>66</v>
      </c>
      <c r="T94" s="297">
        <f>'ｼｰﾄNO.4（表-4）60頁'!S21</f>
        <v>8.35</v>
      </c>
      <c r="U94" s="326">
        <v>64.180000000000007</v>
      </c>
      <c r="V94" s="221">
        <f>P79*Q79*R93*T94*U94</f>
        <v>2893.8762000000006</v>
      </c>
      <c r="W94" s="554"/>
    </row>
    <row r="95" spans="1:23" ht="15" customHeight="1">
      <c r="A95" s="308"/>
      <c r="B95" s="309"/>
      <c r="C95" s="310"/>
      <c r="D95" s="309"/>
      <c r="E95" s="309"/>
      <c r="F95" s="311"/>
      <c r="G95" s="309"/>
      <c r="H95" s="312"/>
      <c r="I95" s="311"/>
      <c r="J95" s="312"/>
      <c r="K95" s="313"/>
      <c r="M95" s="571"/>
      <c r="N95" s="571"/>
      <c r="O95" s="540" t="s">
        <v>286</v>
      </c>
      <c r="P95" s="554"/>
      <c r="Q95" s="565"/>
      <c r="R95" s="543">
        <f>IF(('ｼｰﾄNO.4（表-4）60頁'!P22-'ｼｰﾄNO.4（表-4）60頁'!T22)/60&gt;0,('ｼｰﾄNO.4（表-4）60頁'!P22-'ｼｰﾄNO.4（表-4）60頁'!T22)/60,0)</f>
        <v>6.6666666666666666E-2</v>
      </c>
      <c r="S95" s="63" t="s">
        <v>65</v>
      </c>
      <c r="T95" s="294">
        <f>'ｼｰﾄNO.4（表-4）60頁'!S22</f>
        <v>812.25</v>
      </c>
      <c r="U95" s="325">
        <v>40.1</v>
      </c>
      <c r="V95" s="99">
        <f>P79*Q79*R95*T95*U95</f>
        <v>351769.23000000004</v>
      </c>
      <c r="W95" s="554"/>
    </row>
    <row r="96" spans="1:23" ht="15" customHeight="1">
      <c r="A96" s="308"/>
      <c r="B96" s="309"/>
      <c r="C96" s="310"/>
      <c r="D96" s="309"/>
      <c r="E96" s="309"/>
      <c r="F96" s="311"/>
      <c r="G96" s="309"/>
      <c r="H96" s="312"/>
      <c r="I96" s="311"/>
      <c r="J96" s="312"/>
      <c r="K96" s="313"/>
      <c r="M96" s="571"/>
      <c r="N96" s="571"/>
      <c r="O96" s="542"/>
      <c r="P96" s="554"/>
      <c r="Q96" s="565"/>
      <c r="R96" s="544"/>
      <c r="S96" s="64" t="s">
        <v>66</v>
      </c>
      <c r="T96" s="297">
        <f>'ｼｰﾄNO.4（表-4）60頁'!S23</f>
        <v>42.75</v>
      </c>
      <c r="U96" s="326">
        <v>64.180000000000007</v>
      </c>
      <c r="V96" s="221">
        <f>P79*Q79*R95*T96*U96</f>
        <v>29631.906000000006</v>
      </c>
      <c r="W96" s="554"/>
    </row>
    <row r="97" spans="1:23" ht="15" customHeight="1">
      <c r="A97" s="308"/>
      <c r="B97" s="573" t="s">
        <v>617</v>
      </c>
      <c r="C97" s="573"/>
      <c r="D97" s="573"/>
      <c r="E97" s="573"/>
      <c r="F97" s="314"/>
      <c r="G97" s="315"/>
      <c r="H97" s="316"/>
      <c r="I97" s="314"/>
      <c r="J97" s="316"/>
      <c r="K97" s="317"/>
      <c r="M97" s="571"/>
      <c r="N97" s="571"/>
      <c r="O97" s="540" t="s">
        <v>287</v>
      </c>
      <c r="P97" s="554"/>
      <c r="Q97" s="565"/>
      <c r="R97" s="543">
        <f>IF(('ｼｰﾄNO.4（表-4）60頁'!P24-'ｼｰﾄNO.4（表-4）60頁'!T24)/60&gt;0,('ｼｰﾄNO.4（表-4）60頁'!P24-'ｼｰﾄNO.4（表-4）60頁'!T24)/60,0)</f>
        <v>1.6666666666666666E-2</v>
      </c>
      <c r="S97" s="63" t="s">
        <v>65</v>
      </c>
      <c r="T97" s="294">
        <f>'ｼｰﾄNO.4（表-4）60頁'!S24</f>
        <v>133.94999999999999</v>
      </c>
      <c r="U97" s="325">
        <v>40.1</v>
      </c>
      <c r="V97" s="99">
        <f>P79*Q79*R97*T97*U97</f>
        <v>14502.766500000002</v>
      </c>
      <c r="W97" s="554"/>
    </row>
    <row r="98" spans="1:23" ht="15" customHeight="1">
      <c r="A98" s="308"/>
      <c r="B98" s="573"/>
      <c r="C98" s="573"/>
      <c r="D98" s="573"/>
      <c r="E98" s="573"/>
      <c r="F98" s="314"/>
      <c r="G98" s="574" t="s">
        <v>898</v>
      </c>
      <c r="H98" s="574"/>
      <c r="I98" s="574"/>
      <c r="J98" s="574"/>
      <c r="K98" s="575"/>
      <c r="M98" s="571"/>
      <c r="N98" s="571"/>
      <c r="O98" s="542"/>
      <c r="P98" s="554"/>
      <c r="Q98" s="565"/>
      <c r="R98" s="544"/>
      <c r="S98" s="64" t="s">
        <v>66</v>
      </c>
      <c r="T98" s="297">
        <f>'ｼｰﾄNO.4（表-4）60頁'!S25</f>
        <v>7.0500000000000007</v>
      </c>
      <c r="U98" s="326">
        <v>64.180000000000007</v>
      </c>
      <c r="V98" s="221">
        <f>P79*Q79*R97*T98*U98</f>
        <v>1221.6663000000003</v>
      </c>
      <c r="W98" s="554"/>
    </row>
    <row r="99" spans="1:23" ht="15" customHeight="1">
      <c r="A99" s="308"/>
      <c r="B99" s="315"/>
      <c r="C99" s="318"/>
      <c r="D99" s="315"/>
      <c r="E99" s="315"/>
      <c r="F99" s="314"/>
      <c r="G99" s="574"/>
      <c r="H99" s="574"/>
      <c r="I99" s="574"/>
      <c r="J99" s="574"/>
      <c r="K99" s="575"/>
      <c r="M99" s="571"/>
      <c r="N99" s="571"/>
      <c r="O99" s="540" t="s">
        <v>251</v>
      </c>
      <c r="P99" s="554"/>
      <c r="Q99" s="565"/>
      <c r="R99" s="543">
        <f>IF(('ｼｰﾄNO.4（表-4）60頁'!P26-'ｼｰﾄNO.4（表-4）60頁'!T26)/60&gt;0,('ｼｰﾄNO.4（表-4）60頁'!P26-'ｼｰﾄNO.4（表-4）60頁'!T26)/60,0)</f>
        <v>8.3333333333333329E-2</v>
      </c>
      <c r="S99" s="63" t="s">
        <v>65</v>
      </c>
      <c r="T99" s="294">
        <f>'ｼｰﾄNO.4（表-4）60頁'!S26</f>
        <v>46.55</v>
      </c>
      <c r="U99" s="325">
        <v>40.1</v>
      </c>
      <c r="V99" s="99">
        <f>P79*Q79*R99*T99*U99</f>
        <v>25199.842499999999</v>
      </c>
      <c r="W99" s="554"/>
    </row>
    <row r="100" spans="1:23" ht="15" customHeight="1">
      <c r="A100" s="308"/>
      <c r="B100" s="573" t="s">
        <v>618</v>
      </c>
      <c r="C100" s="573"/>
      <c r="D100" s="573"/>
      <c r="E100" s="573"/>
      <c r="F100" s="314"/>
      <c r="G100" s="574"/>
      <c r="H100" s="574"/>
      <c r="I100" s="574"/>
      <c r="J100" s="574"/>
      <c r="K100" s="575"/>
      <c r="M100" s="571"/>
      <c r="N100" s="571"/>
      <c r="O100" s="542"/>
      <c r="P100" s="554"/>
      <c r="Q100" s="565"/>
      <c r="R100" s="544"/>
      <c r="S100" s="64" t="s">
        <v>66</v>
      </c>
      <c r="T100" s="297">
        <f>'ｼｰﾄNO.4（表-4）60頁'!S27</f>
        <v>2.4500000000000002</v>
      </c>
      <c r="U100" s="326">
        <v>64.180000000000007</v>
      </c>
      <c r="V100" s="221">
        <f>P79*Q79*R99*T100*U100</f>
        <v>2122.7535000000003</v>
      </c>
      <c r="W100" s="554"/>
    </row>
    <row r="101" spans="1:23" ht="15" customHeight="1">
      <c r="A101" s="308"/>
      <c r="B101" s="573"/>
      <c r="C101" s="573"/>
      <c r="D101" s="573"/>
      <c r="E101" s="573"/>
      <c r="F101" s="314"/>
      <c r="G101" s="315"/>
      <c r="H101" s="316"/>
      <c r="I101" s="314"/>
      <c r="J101" s="316"/>
      <c r="K101" s="317"/>
      <c r="M101" s="571"/>
      <c r="N101" s="571"/>
      <c r="O101" s="540" t="s">
        <v>230</v>
      </c>
      <c r="P101" s="554"/>
      <c r="Q101" s="565"/>
      <c r="R101" s="543">
        <f>IF(('ｼｰﾄNO.4（表-4）60頁'!P28-'ｼｰﾄNO.4（表-4）60頁'!T28)/60&gt;0,('ｼｰﾄNO.4（表-4）60頁'!P28-'ｼｰﾄNO.4（表-4）60頁'!T28)/60,0)</f>
        <v>0</v>
      </c>
      <c r="S101" s="63" t="s">
        <v>65</v>
      </c>
      <c r="T101" s="294">
        <f>'ｼｰﾄNO.4（表-4）60頁'!S28</f>
        <v>733.4</v>
      </c>
      <c r="U101" s="325">
        <v>40.1</v>
      </c>
      <c r="V101" s="99">
        <f>P79*Q79*R101*T101*U101</f>
        <v>0</v>
      </c>
      <c r="W101" s="554"/>
    </row>
    <row r="102" spans="1:23" ht="15" customHeight="1">
      <c r="A102" s="308"/>
      <c r="B102" s="309"/>
      <c r="C102" s="310"/>
      <c r="D102" s="309"/>
      <c r="E102" s="309"/>
      <c r="F102" s="311"/>
      <c r="G102" s="309"/>
      <c r="H102" s="312"/>
      <c r="I102" s="311"/>
      <c r="J102" s="312"/>
      <c r="K102" s="313"/>
      <c r="M102" s="571"/>
      <c r="N102" s="572"/>
      <c r="O102" s="542"/>
      <c r="P102" s="555"/>
      <c r="Q102" s="566"/>
      <c r="R102" s="544"/>
      <c r="S102" s="64" t="s">
        <v>66</v>
      </c>
      <c r="T102" s="297">
        <f>'ｼｰﾄNO.4（表-4）60頁'!S29</f>
        <v>38.6</v>
      </c>
      <c r="U102" s="326">
        <v>64.180000000000007</v>
      </c>
      <c r="V102" s="221">
        <f>P79*Q79*R101*T102*U102</f>
        <v>0</v>
      </c>
      <c r="W102" s="555"/>
    </row>
    <row r="103" spans="1:23" ht="15" customHeight="1">
      <c r="A103" s="308"/>
      <c r="B103" s="309"/>
      <c r="C103" s="310"/>
      <c r="D103" s="309"/>
      <c r="E103" s="309"/>
      <c r="F103" s="311"/>
      <c r="G103" s="309"/>
      <c r="H103" s="312"/>
      <c r="I103" s="311"/>
      <c r="J103" s="312"/>
      <c r="K103" s="313"/>
      <c r="M103" s="571"/>
      <c r="N103" s="570" t="s">
        <v>899</v>
      </c>
      <c r="O103" s="540" t="s">
        <v>224</v>
      </c>
      <c r="P103" s="553">
        <f>'ｼｰﾄNO.3（表-3）59頁'!F39</f>
        <v>12</v>
      </c>
      <c r="Q103" s="553">
        <f>'ｼｰﾄNO.3（表-3）59頁'!$F$30</f>
        <v>9</v>
      </c>
      <c r="R103" s="543">
        <f>IF(('ｼｰﾄNO.4（表-4）60頁'!P33-'ｼｰﾄNO.4（表-4）60頁'!T33)/60&gt;0,('ｼｰﾄNO.4（表-4）60頁'!P33-'ｼｰﾄNO.4（表-4）60頁'!T33)/60,0)</f>
        <v>0</v>
      </c>
      <c r="S103" s="63" t="s">
        <v>65</v>
      </c>
      <c r="T103" s="294">
        <f>'ｼｰﾄNO.4（表-4）60頁'!S33</f>
        <v>772.34999999999991</v>
      </c>
      <c r="U103" s="325">
        <v>40.1</v>
      </c>
      <c r="V103" s="99">
        <f>P103*Q103*R103*T103*U103</f>
        <v>0</v>
      </c>
      <c r="W103" s="553">
        <f>SUM(V103:V126)</f>
        <v>22554933.105599999</v>
      </c>
    </row>
    <row r="104" spans="1:23" ht="15" customHeight="1">
      <c r="A104" s="319"/>
      <c r="B104" s="320"/>
      <c r="C104" s="321"/>
      <c r="D104" s="320"/>
      <c r="E104" s="320"/>
      <c r="F104" s="322"/>
      <c r="G104" s="320"/>
      <c r="H104" s="323"/>
      <c r="I104" s="322"/>
      <c r="J104" s="323"/>
      <c r="K104" s="324"/>
      <c r="M104" s="571"/>
      <c r="N104" s="571"/>
      <c r="O104" s="542"/>
      <c r="P104" s="554"/>
      <c r="Q104" s="565"/>
      <c r="R104" s="544"/>
      <c r="S104" s="64" t="s">
        <v>66</v>
      </c>
      <c r="T104" s="297">
        <f>'ｼｰﾄNO.4（表-4）60頁'!S34</f>
        <v>40.650000000000006</v>
      </c>
      <c r="U104" s="326">
        <v>64.180000000000007</v>
      </c>
      <c r="V104" s="221">
        <f>P103*Q103*R103*T104*U104</f>
        <v>0</v>
      </c>
      <c r="W104" s="554"/>
    </row>
    <row r="105" spans="1:23" ht="15" customHeight="1">
      <c r="M105" s="571"/>
      <c r="N105" s="571"/>
      <c r="O105" s="540" t="s">
        <v>269</v>
      </c>
      <c r="P105" s="554"/>
      <c r="Q105" s="565"/>
      <c r="R105" s="543">
        <f>IF(('ｼｰﾄNO.4（表-4）60頁'!P35-'ｼｰﾄNO.4（表-4）60頁'!T35)/60&gt;0,('ｼｰﾄNO.4（表-4）60頁'!P35-'ｼｰﾄNO.4（表-4）60頁'!T35)/60,0)</f>
        <v>0</v>
      </c>
      <c r="S105" s="63" t="s">
        <v>65</v>
      </c>
      <c r="T105" s="294">
        <f>'ｼｰﾄNO.4（表-4）60頁'!S35</f>
        <v>148.19999999999999</v>
      </c>
      <c r="U105" s="325">
        <v>40.1</v>
      </c>
      <c r="V105" s="99">
        <f>P103*Q103*R105*T105*U105</f>
        <v>0</v>
      </c>
      <c r="W105" s="554"/>
    </row>
    <row r="106" spans="1:23" ht="15" customHeight="1">
      <c r="M106" s="571"/>
      <c r="N106" s="571"/>
      <c r="O106" s="542"/>
      <c r="P106" s="554"/>
      <c r="Q106" s="565"/>
      <c r="R106" s="544"/>
      <c r="S106" s="64" t="s">
        <v>66</v>
      </c>
      <c r="T106" s="297">
        <f>'ｼｰﾄNO.4（表-4）60頁'!S36</f>
        <v>7.8000000000000007</v>
      </c>
      <c r="U106" s="326">
        <v>64.180000000000007</v>
      </c>
      <c r="V106" s="221">
        <f>P103*Q103*R105*T106*U106</f>
        <v>0</v>
      </c>
      <c r="W106" s="554"/>
    </row>
    <row r="107" spans="1:23" ht="15" customHeight="1">
      <c r="M107" s="571"/>
      <c r="N107" s="571"/>
      <c r="O107" s="540" t="s">
        <v>246</v>
      </c>
      <c r="P107" s="554"/>
      <c r="Q107" s="565"/>
      <c r="R107" s="543">
        <f>IF(('ｼｰﾄNO.4（表-4）60頁'!P37-'ｼｰﾄNO.4（表-4）60頁'!T37)/60&gt;0,('ｼｰﾄNO.4（表-4）60頁'!P37-'ｼｰﾄNO.4（表-4）60頁'!T37)/60,0)</f>
        <v>0.38333333333333336</v>
      </c>
      <c r="S107" s="63" t="s">
        <v>65</v>
      </c>
      <c r="T107" s="294">
        <f>'ｼｰﾄNO.4（表-4）60頁'!S37</f>
        <v>41.8</v>
      </c>
      <c r="U107" s="325">
        <v>40.1</v>
      </c>
      <c r="V107" s="99">
        <f>P103*Q103*R107*T107*U107</f>
        <v>69393.852000000014</v>
      </c>
      <c r="W107" s="554"/>
    </row>
    <row r="108" spans="1:23" ht="15" customHeight="1">
      <c r="M108" s="571"/>
      <c r="N108" s="571"/>
      <c r="O108" s="542"/>
      <c r="P108" s="554"/>
      <c r="Q108" s="565"/>
      <c r="R108" s="544"/>
      <c r="S108" s="64" t="s">
        <v>66</v>
      </c>
      <c r="T108" s="297">
        <f>'ｼｰﾄNO.4（表-4）60頁'!S38</f>
        <v>2.2000000000000002</v>
      </c>
      <c r="U108" s="326">
        <v>64.180000000000007</v>
      </c>
      <c r="V108" s="221">
        <f>P103*Q103*R107*T108*U108</f>
        <v>5845.5144000000028</v>
      </c>
      <c r="W108" s="554"/>
    </row>
    <row r="109" spans="1:23" ht="15" customHeight="1">
      <c r="M109" s="571"/>
      <c r="N109" s="571"/>
      <c r="O109" s="540" t="s">
        <v>288</v>
      </c>
      <c r="P109" s="554"/>
      <c r="Q109" s="565"/>
      <c r="R109" s="543">
        <f>IF(('ｼｰﾄNO.4（表-4）60頁'!P39-'ｼｰﾄNO.4（表-4）60頁'!T39)/60&gt;0,('ｼｰﾄNO.4（表-4）60頁'!P39-'ｼｰﾄNO.4（表-4）60頁'!T39)/60,0)</f>
        <v>0.18333333333333332</v>
      </c>
      <c r="S109" s="63" t="s">
        <v>65</v>
      </c>
      <c r="T109" s="294">
        <f>'ｼｰﾄNO.4（表-4）60頁'!S39</f>
        <v>753.34999999999991</v>
      </c>
      <c r="U109" s="325">
        <v>40.1</v>
      </c>
      <c r="V109" s="99">
        <f>P103*Q103*R109*T109*U109</f>
        <v>598144.83299999987</v>
      </c>
      <c r="W109" s="554"/>
    </row>
    <row r="110" spans="1:23" ht="15" customHeight="1">
      <c r="M110" s="571"/>
      <c r="N110" s="571"/>
      <c r="O110" s="542"/>
      <c r="P110" s="554"/>
      <c r="Q110" s="565"/>
      <c r="R110" s="544"/>
      <c r="S110" s="64" t="s">
        <v>66</v>
      </c>
      <c r="T110" s="297">
        <f>'ｼｰﾄNO.4（表-4）60頁'!S40</f>
        <v>39.650000000000006</v>
      </c>
      <c r="U110" s="326">
        <v>64.180000000000007</v>
      </c>
      <c r="V110" s="221">
        <f>P103*Q103*R109*T110*U110</f>
        <v>50385.792600000008</v>
      </c>
      <c r="W110" s="554"/>
    </row>
    <row r="111" spans="1:23" ht="15" customHeight="1">
      <c r="M111" s="571"/>
      <c r="N111" s="571"/>
      <c r="O111" s="540" t="s">
        <v>247</v>
      </c>
      <c r="P111" s="554"/>
      <c r="Q111" s="565"/>
      <c r="R111" s="543">
        <f>IF(('ｼｰﾄNO.4（表-4）60頁'!P41-'ｼｰﾄNO.4（表-4）60頁'!T41)/60&gt;0,('ｼｰﾄNO.4（表-4）60頁'!P41-'ｼｰﾄNO.4（表-4）60頁'!T41)/60,0)</f>
        <v>0.05</v>
      </c>
      <c r="S111" s="63" t="s">
        <v>65</v>
      </c>
      <c r="T111" s="294">
        <f>'ｼｰﾄNO.4（表-4）60頁'!S41</f>
        <v>39.9</v>
      </c>
      <c r="U111" s="325">
        <v>40.1</v>
      </c>
      <c r="V111" s="99">
        <f>P103*Q103*R111*T111*U111</f>
        <v>8639.9459999999999</v>
      </c>
      <c r="W111" s="554"/>
    </row>
    <row r="112" spans="1:23" ht="15" customHeight="1">
      <c r="M112" s="571"/>
      <c r="N112" s="571"/>
      <c r="O112" s="542"/>
      <c r="P112" s="554"/>
      <c r="Q112" s="565"/>
      <c r="R112" s="544"/>
      <c r="S112" s="64" t="s">
        <v>66</v>
      </c>
      <c r="T112" s="297">
        <f>'ｼｰﾄNO.4（表-4）60頁'!S42</f>
        <v>2.1</v>
      </c>
      <c r="U112" s="326">
        <v>64.180000000000007</v>
      </c>
      <c r="V112" s="221">
        <f>P103*Q103*R111*T112*U112</f>
        <v>727.80120000000022</v>
      </c>
      <c r="W112" s="554"/>
    </row>
    <row r="113" spans="13:23" ht="15" customHeight="1">
      <c r="M113" s="571"/>
      <c r="N113" s="571"/>
      <c r="O113" s="540" t="s">
        <v>241</v>
      </c>
      <c r="P113" s="554"/>
      <c r="Q113" s="565"/>
      <c r="R113" s="543">
        <f>IF(('ｼｰﾄNO.4（表-4）60頁'!P43-'ｼｰﾄNO.4（表-4）60頁'!T43)/60&gt;0,('ｼｰﾄNO.4（表-4）60頁'!P43-'ｼｰﾄNO.4（表-4）60頁'!T43)/60,0)</f>
        <v>0.11666666666666667</v>
      </c>
      <c r="S113" s="63" t="s">
        <v>65</v>
      </c>
      <c r="T113" s="294">
        <f>'ｼｰﾄNO.4（表-4）60頁'!S43</f>
        <v>147.25</v>
      </c>
      <c r="U113" s="325">
        <v>40.1</v>
      </c>
      <c r="V113" s="99">
        <f>P103*Q103*R113*T113*U113</f>
        <v>74399.535000000003</v>
      </c>
      <c r="W113" s="554"/>
    </row>
    <row r="114" spans="13:23" ht="15" customHeight="1">
      <c r="M114" s="571"/>
      <c r="N114" s="571"/>
      <c r="O114" s="542"/>
      <c r="P114" s="554"/>
      <c r="Q114" s="565"/>
      <c r="R114" s="544"/>
      <c r="S114" s="64" t="s">
        <v>66</v>
      </c>
      <c r="T114" s="297">
        <f>'ｼｰﾄNO.4（表-4）60頁'!S44</f>
        <v>7.75</v>
      </c>
      <c r="U114" s="326">
        <v>64.180000000000007</v>
      </c>
      <c r="V114" s="221">
        <f>P103*Q103*R113*T114*U114</f>
        <v>6267.1769999999997</v>
      </c>
      <c r="W114" s="554"/>
    </row>
    <row r="115" spans="13:23" ht="15" customHeight="1">
      <c r="M115" s="571"/>
      <c r="N115" s="571"/>
      <c r="O115" s="540" t="s">
        <v>289</v>
      </c>
      <c r="P115" s="554"/>
      <c r="Q115" s="565"/>
      <c r="R115" s="543">
        <f>IF(('ｼｰﾄNO.4（表-4）60頁'!P45-'ｼｰﾄNO.4（表-4）60頁'!T45)/60&gt;0,('ｼｰﾄNO.4（表-4）60頁'!P45-'ｼｰﾄNO.4（表-4）60頁'!T45)/60,0)</f>
        <v>0.15</v>
      </c>
      <c r="S115" s="63" t="s">
        <v>65</v>
      </c>
      <c r="T115" s="294">
        <f>'ｼｰﾄNO.4（表-4）60頁'!S45</f>
        <v>54.15</v>
      </c>
      <c r="U115" s="325">
        <v>40.1</v>
      </c>
      <c r="V115" s="99">
        <f>P103*Q103*R115*T115*U115</f>
        <v>35176.922999999995</v>
      </c>
      <c r="W115" s="554"/>
    </row>
    <row r="116" spans="13:23" ht="15" customHeight="1">
      <c r="M116" s="571"/>
      <c r="N116" s="571"/>
      <c r="O116" s="542"/>
      <c r="P116" s="554"/>
      <c r="Q116" s="565"/>
      <c r="R116" s="544"/>
      <c r="S116" s="64" t="s">
        <v>66</v>
      </c>
      <c r="T116" s="297">
        <f>'ｼｰﾄNO.4（表-4）60頁'!S46</f>
        <v>2.85</v>
      </c>
      <c r="U116" s="326">
        <v>64.180000000000007</v>
      </c>
      <c r="V116" s="221">
        <f>P103*Q103*R115*T116*U116</f>
        <v>2963.1906000000004</v>
      </c>
      <c r="W116" s="554"/>
    </row>
    <row r="117" spans="13:23" ht="15" customHeight="1">
      <c r="M117" s="571"/>
      <c r="N117" s="571"/>
      <c r="O117" s="540" t="s">
        <v>242</v>
      </c>
      <c r="P117" s="554"/>
      <c r="Q117" s="565"/>
      <c r="R117" s="543">
        <f>IF(('ｼｰﾄNO.4（表-4）60頁'!P47-'ｼｰﾄNO.4（表-4）60頁'!T47)/60&gt;0,('ｼｰﾄNO.4（表-4）60頁'!P47-'ｼｰﾄNO.4（表-4）60頁'!T47)/60,0)</f>
        <v>0.05</v>
      </c>
      <c r="S117" s="63" t="s">
        <v>65</v>
      </c>
      <c r="T117" s="294">
        <f>'ｼｰﾄNO.4（表-4）60頁'!S47</f>
        <v>158.65</v>
      </c>
      <c r="U117" s="325">
        <v>40.1</v>
      </c>
      <c r="V117" s="99">
        <f>P103*Q103*R117*T117*U117</f>
        <v>34354.071000000004</v>
      </c>
      <c r="W117" s="554"/>
    </row>
    <row r="118" spans="13:23" ht="15" customHeight="1">
      <c r="M118" s="571"/>
      <c r="N118" s="571"/>
      <c r="O118" s="542"/>
      <c r="P118" s="554"/>
      <c r="Q118" s="565"/>
      <c r="R118" s="544"/>
      <c r="S118" s="64" t="s">
        <v>66</v>
      </c>
      <c r="T118" s="297">
        <f>'ｼｰﾄNO.4（表-4）60頁'!S48</f>
        <v>8.35</v>
      </c>
      <c r="U118" s="326">
        <v>64.180000000000007</v>
      </c>
      <c r="V118" s="221">
        <f>P103*Q103*R117*T118*U118</f>
        <v>2893.8762000000006</v>
      </c>
      <c r="W118" s="554"/>
    </row>
    <row r="119" spans="13:23" ht="15" customHeight="1">
      <c r="M119" s="571"/>
      <c r="N119" s="571"/>
      <c r="O119" s="540" t="s">
        <v>233</v>
      </c>
      <c r="P119" s="554"/>
      <c r="Q119" s="565"/>
      <c r="R119" s="543">
        <f>IF(('ｼｰﾄNO.4（表-4）60頁'!P49-'ｼｰﾄNO.4（表-4）60頁'!T49)/60&gt;0,('ｼｰﾄNO.4（表-4）60頁'!P49-'ｼｰﾄNO.4（表-4）60頁'!T49)/60,0)</f>
        <v>0.16666666666666666</v>
      </c>
      <c r="S119" s="63" t="s">
        <v>65</v>
      </c>
      <c r="T119" s="294">
        <f>'ｼｰﾄNO.4（表-4）60頁'!S49</f>
        <v>738.15</v>
      </c>
      <c r="U119" s="325">
        <v>40.1</v>
      </c>
      <c r="V119" s="99">
        <f>P103*Q103*R119*T119*U119</f>
        <v>532796.66999999993</v>
      </c>
      <c r="W119" s="554"/>
    </row>
    <row r="120" spans="13:23" ht="15" customHeight="1">
      <c r="M120" s="571"/>
      <c r="N120" s="571"/>
      <c r="O120" s="542"/>
      <c r="P120" s="554"/>
      <c r="Q120" s="565"/>
      <c r="R120" s="544"/>
      <c r="S120" s="64" t="s">
        <v>66</v>
      </c>
      <c r="T120" s="297">
        <f>'ｼｰﾄNO.4（表-4）60頁'!S50</f>
        <v>38.85</v>
      </c>
      <c r="U120" s="326">
        <v>64.180000000000007</v>
      </c>
      <c r="V120" s="221">
        <f>P103*Q103*R119*T120*U120</f>
        <v>44881.074000000008</v>
      </c>
      <c r="W120" s="554"/>
    </row>
    <row r="121" spans="13:23" ht="15" customHeight="1">
      <c r="M121" s="571"/>
      <c r="N121" s="571"/>
      <c r="O121" s="540" t="s">
        <v>290</v>
      </c>
      <c r="P121" s="554"/>
      <c r="Q121" s="565"/>
      <c r="R121" s="543">
        <f>IF(('ｼｰﾄNO.4（表-4）60頁'!P51-'ｼｰﾄNO.4（表-4）60頁'!T51)/60&gt;0,('ｼｰﾄNO.4（表-4）60頁'!P51-'ｼｰﾄNO.4（表-4）60頁'!T51)/60,0)</f>
        <v>5.0999999999999996</v>
      </c>
      <c r="S121" s="63" t="s">
        <v>65</v>
      </c>
      <c r="T121" s="294">
        <f>'ｼｰﾄNO.4（表-4）60頁'!S51</f>
        <v>133</v>
      </c>
      <c r="U121" s="325">
        <v>40.1</v>
      </c>
      <c r="V121" s="99">
        <f>P103*Q103*R121*T121*U121</f>
        <v>2937581.6399999997</v>
      </c>
      <c r="W121" s="554"/>
    </row>
    <row r="122" spans="13:23" ht="15" customHeight="1">
      <c r="M122" s="571"/>
      <c r="N122" s="571"/>
      <c r="O122" s="542"/>
      <c r="P122" s="554"/>
      <c r="Q122" s="565"/>
      <c r="R122" s="544"/>
      <c r="S122" s="64" t="s">
        <v>66</v>
      </c>
      <c r="T122" s="297">
        <f>'ｼｰﾄNO.4（表-4）60頁'!S52</f>
        <v>7</v>
      </c>
      <c r="U122" s="326">
        <v>64.180000000000007</v>
      </c>
      <c r="V122" s="221">
        <f>P103*Q103*R121*T122*U122</f>
        <v>247452.408</v>
      </c>
      <c r="W122" s="554"/>
    </row>
    <row r="123" spans="13:23" ht="15" customHeight="1">
      <c r="M123" s="571"/>
      <c r="N123" s="571"/>
      <c r="O123" s="540" t="s">
        <v>291</v>
      </c>
      <c r="P123" s="554"/>
      <c r="Q123" s="565"/>
      <c r="R123" s="543">
        <f>IF(('ｼｰﾄNO.4（表-4）60頁'!P53-'ｼｰﾄNO.4（表-4）60頁'!T53)/60&gt;0,('ｼｰﾄNO.4（表-4）60頁'!P53-'ｼｰﾄNO.4（表-4）60頁'!T53)/60,0)</f>
        <v>4.3166666666666664</v>
      </c>
      <c r="S123" s="63" t="s">
        <v>65</v>
      </c>
      <c r="T123" s="294">
        <f>'ｼｰﾄNO.4（表-4）60頁'!S53</f>
        <v>47.5</v>
      </c>
      <c r="U123" s="325">
        <v>40.1</v>
      </c>
      <c r="V123" s="99">
        <f>P103*Q103*R123*T123*U123</f>
        <v>887994.45000000007</v>
      </c>
      <c r="W123" s="554"/>
    </row>
    <row r="124" spans="13:23" ht="15" customHeight="1">
      <c r="M124" s="571"/>
      <c r="N124" s="571"/>
      <c r="O124" s="542"/>
      <c r="P124" s="554"/>
      <c r="Q124" s="565"/>
      <c r="R124" s="544"/>
      <c r="S124" s="64" t="s">
        <v>66</v>
      </c>
      <c r="T124" s="297">
        <f>'ｼｰﾄNO.4（表-4）60頁'!S54</f>
        <v>2.5</v>
      </c>
      <c r="U124" s="326">
        <v>64.180000000000007</v>
      </c>
      <c r="V124" s="221">
        <f>P103*Q103*R123*T124*U124</f>
        <v>74801.790000000008</v>
      </c>
      <c r="W124" s="554"/>
    </row>
    <row r="125" spans="13:23" ht="15" customHeight="1">
      <c r="M125" s="571"/>
      <c r="N125" s="571"/>
      <c r="O125" s="540" t="s">
        <v>226</v>
      </c>
      <c r="P125" s="554"/>
      <c r="Q125" s="565"/>
      <c r="R125" s="543">
        <f>IF(('ｼｰﾄNO.4（表-4）60頁'!P55-'ｼｰﾄNO.4（表-4）60頁'!T55)/60&gt;0,('ｼｰﾄNO.4（表-4）60頁'!P55-'ｼｰﾄNO.4（表-4）60頁'!T55)/60,0)</f>
        <v>4.8499999999999996</v>
      </c>
      <c r="S125" s="63" t="s">
        <v>65</v>
      </c>
      <c r="T125" s="294">
        <f>'ｼｰﾄNO.4（表-4）60頁'!S55</f>
        <v>743.84999999999991</v>
      </c>
      <c r="U125" s="325">
        <v>40.1</v>
      </c>
      <c r="V125" s="99">
        <f>P103*Q103*R125*T125*U125</f>
        <v>15624108.062999999</v>
      </c>
      <c r="W125" s="554"/>
    </row>
    <row r="126" spans="13:23" ht="15" customHeight="1">
      <c r="M126" s="571"/>
      <c r="N126" s="572"/>
      <c r="O126" s="542"/>
      <c r="P126" s="555"/>
      <c r="Q126" s="566"/>
      <c r="R126" s="544"/>
      <c r="S126" s="64" t="s">
        <v>66</v>
      </c>
      <c r="T126" s="297">
        <f>'ｼｰﾄNO.4（表-4）60頁'!S56</f>
        <v>39.150000000000006</v>
      </c>
      <c r="U126" s="326">
        <v>64.180000000000007</v>
      </c>
      <c r="V126" s="221">
        <f>P103*Q103*R125*T126*U126</f>
        <v>1316124.4986000003</v>
      </c>
      <c r="W126" s="555"/>
    </row>
    <row r="127" spans="13:23" ht="21" customHeight="1">
      <c r="M127" s="572"/>
      <c r="N127" s="301" t="s">
        <v>125</v>
      </c>
      <c r="O127" s="562">
        <f>SUM(W7:W126)</f>
        <v>53645730.199200004</v>
      </c>
      <c r="P127" s="563"/>
      <c r="Q127" s="563"/>
      <c r="R127" s="563"/>
      <c r="S127" s="563"/>
      <c r="T127" s="563"/>
      <c r="U127" s="563"/>
      <c r="V127" s="563"/>
      <c r="W127" s="564"/>
    </row>
    <row r="128" spans="13:23" ht="15" customHeight="1">
      <c r="O128" s="285"/>
      <c r="R128" s="116"/>
      <c r="T128" s="81"/>
      <c r="U128" s="116"/>
      <c r="V128" s="81"/>
    </row>
    <row r="168" spans="14:14" ht="15" customHeight="1">
      <c r="N168" s="140" t="s">
        <v>283</v>
      </c>
    </row>
    <row r="203" ht="31.5" customHeight="1"/>
  </sheetData>
  <mergeCells count="256">
    <mergeCell ref="G6:H6"/>
    <mergeCell ref="S6:T6"/>
    <mergeCell ref="V3:W3"/>
    <mergeCell ref="V4:W4"/>
    <mergeCell ref="V5:W5"/>
    <mergeCell ref="O65:O66"/>
    <mergeCell ref="R65:R66"/>
    <mergeCell ref="O67:O68"/>
    <mergeCell ref="R67:R68"/>
    <mergeCell ref="R35:R36"/>
    <mergeCell ref="Q7:Q30"/>
    <mergeCell ref="R7:R8"/>
    <mergeCell ref="O9:O10"/>
    <mergeCell ref="R9:R10"/>
    <mergeCell ref="O11:O12"/>
    <mergeCell ref="R11:R12"/>
    <mergeCell ref="O13:O14"/>
    <mergeCell ref="R13:R14"/>
    <mergeCell ref="O15:O16"/>
    <mergeCell ref="R15:R16"/>
    <mergeCell ref="O17:O18"/>
    <mergeCell ref="R17:R18"/>
    <mergeCell ref="O19:O20"/>
    <mergeCell ref="O27:O28"/>
    <mergeCell ref="O69:O70"/>
    <mergeCell ref="R69:R70"/>
    <mergeCell ref="S3:T3"/>
    <mergeCell ref="S4:T4"/>
    <mergeCell ref="S5:T5"/>
    <mergeCell ref="R41:R42"/>
    <mergeCell ref="O37:O38"/>
    <mergeCell ref="W31:W54"/>
    <mergeCell ref="W55:W78"/>
    <mergeCell ref="V6:W6"/>
    <mergeCell ref="M6:O6"/>
    <mergeCell ref="N3:N5"/>
    <mergeCell ref="O3:O5"/>
    <mergeCell ref="R51:R52"/>
    <mergeCell ref="O53:O54"/>
    <mergeCell ref="R53:R54"/>
    <mergeCell ref="P55:P78"/>
    <mergeCell ref="M3:M5"/>
    <mergeCell ref="N7:N30"/>
    <mergeCell ref="R55:R56"/>
    <mergeCell ref="R27:R28"/>
    <mergeCell ref="O33:O34"/>
    <mergeCell ref="R33:R34"/>
    <mergeCell ref="O35:O36"/>
    <mergeCell ref="R109:R110"/>
    <mergeCell ref="O111:O112"/>
    <mergeCell ref="O115:O116"/>
    <mergeCell ref="R115:R116"/>
    <mergeCell ref="O91:O92"/>
    <mergeCell ref="R91:R92"/>
    <mergeCell ref="N79:N102"/>
    <mergeCell ref="O79:O80"/>
    <mergeCell ref="P79:P102"/>
    <mergeCell ref="R79:R80"/>
    <mergeCell ref="O81:O82"/>
    <mergeCell ref="R81:R82"/>
    <mergeCell ref="O83:O84"/>
    <mergeCell ref="R83:R84"/>
    <mergeCell ref="O85:O86"/>
    <mergeCell ref="O113:O114"/>
    <mergeCell ref="B31:B54"/>
    <mergeCell ref="C31:C32"/>
    <mergeCell ref="F31:F32"/>
    <mergeCell ref="F71:F72"/>
    <mergeCell ref="C73:C74"/>
    <mergeCell ref="F73:F74"/>
    <mergeCell ref="C67:C68"/>
    <mergeCell ref="F67:F68"/>
    <mergeCell ref="C69:C70"/>
    <mergeCell ref="F69:F70"/>
    <mergeCell ref="B55:B78"/>
    <mergeCell ref="C55:C56"/>
    <mergeCell ref="F55:F56"/>
    <mergeCell ref="C57:C58"/>
    <mergeCell ref="F57:F58"/>
    <mergeCell ref="C63:C64"/>
    <mergeCell ref="F63:F64"/>
    <mergeCell ref="C65:C66"/>
    <mergeCell ref="F65:F66"/>
    <mergeCell ref="C59:C60"/>
    <mergeCell ref="F59:F60"/>
    <mergeCell ref="C61:C62"/>
    <mergeCell ref="C75:C76"/>
    <mergeCell ref="F75:F76"/>
    <mergeCell ref="O29:O30"/>
    <mergeCell ref="O39:O40"/>
    <mergeCell ref="R39:R40"/>
    <mergeCell ref="O41:O42"/>
    <mergeCell ref="O55:O56"/>
    <mergeCell ref="R93:R94"/>
    <mergeCell ref="O31:O32"/>
    <mergeCell ref="R31:R32"/>
    <mergeCell ref="Q31:Q54"/>
    <mergeCell ref="Q79:Q102"/>
    <mergeCell ref="O73:O74"/>
    <mergeCell ref="R73:R74"/>
    <mergeCell ref="O75:O76"/>
    <mergeCell ref="R85:R86"/>
    <mergeCell ref="O99:O100"/>
    <mergeCell ref="R99:R100"/>
    <mergeCell ref="O101:O102"/>
    <mergeCell ref="R101:R102"/>
    <mergeCell ref="O97:O98"/>
    <mergeCell ref="R97:R98"/>
    <mergeCell ref="Q55:Q78"/>
    <mergeCell ref="O57:O58"/>
    <mergeCell ref="R57:R58"/>
    <mergeCell ref="O59:O60"/>
    <mergeCell ref="O125:O126"/>
    <mergeCell ref="O49:O50"/>
    <mergeCell ref="R49:R50"/>
    <mergeCell ref="O51:O52"/>
    <mergeCell ref="O71:O72"/>
    <mergeCell ref="D55:D78"/>
    <mergeCell ref="E55:E78"/>
    <mergeCell ref="F61:F62"/>
    <mergeCell ref="R63:R64"/>
    <mergeCell ref="O119:O120"/>
    <mergeCell ref="R119:R120"/>
    <mergeCell ref="O123:O124"/>
    <mergeCell ref="R123:R124"/>
    <mergeCell ref="E31:E54"/>
    <mergeCell ref="N55:N78"/>
    <mergeCell ref="B97:E98"/>
    <mergeCell ref="B100:E101"/>
    <mergeCell ref="G98:K100"/>
    <mergeCell ref="A92:K93"/>
    <mergeCell ref="O121:O122"/>
    <mergeCell ref="R121:R122"/>
    <mergeCell ref="R59:R60"/>
    <mergeCell ref="R111:R112"/>
    <mergeCell ref="F53:F54"/>
    <mergeCell ref="O127:W127"/>
    <mergeCell ref="O117:O118"/>
    <mergeCell ref="R117:R118"/>
    <mergeCell ref="O95:O96"/>
    <mergeCell ref="R95:R96"/>
    <mergeCell ref="R71:R72"/>
    <mergeCell ref="N103:N126"/>
    <mergeCell ref="O103:O104"/>
    <mergeCell ref="P103:P126"/>
    <mergeCell ref="Q103:Q126"/>
    <mergeCell ref="R103:R104"/>
    <mergeCell ref="O105:O106"/>
    <mergeCell ref="R105:R106"/>
    <mergeCell ref="O107:O108"/>
    <mergeCell ref="R107:R108"/>
    <mergeCell ref="O109:O110"/>
    <mergeCell ref="R125:R126"/>
    <mergeCell ref="W79:W102"/>
    <mergeCell ref="W103:W126"/>
    <mergeCell ref="O87:O88"/>
    <mergeCell ref="R87:R88"/>
    <mergeCell ref="O89:O90"/>
    <mergeCell ref="R89:R90"/>
    <mergeCell ref="O93:O94"/>
    <mergeCell ref="C47:C48"/>
    <mergeCell ref="C35:C36"/>
    <mergeCell ref="F47:F48"/>
    <mergeCell ref="R113:R114"/>
    <mergeCell ref="F49:F50"/>
    <mergeCell ref="C43:C44"/>
    <mergeCell ref="F43:F44"/>
    <mergeCell ref="C45:C46"/>
    <mergeCell ref="F45:F46"/>
    <mergeCell ref="N31:N54"/>
    <mergeCell ref="R75:R76"/>
    <mergeCell ref="O77:O78"/>
    <mergeCell ref="R77:R78"/>
    <mergeCell ref="O43:O44"/>
    <mergeCell ref="R43:R44"/>
    <mergeCell ref="O45:O46"/>
    <mergeCell ref="R45:R46"/>
    <mergeCell ref="O47:O48"/>
    <mergeCell ref="R47:R48"/>
    <mergeCell ref="O61:O62"/>
    <mergeCell ref="R61:R62"/>
    <mergeCell ref="O63:O64"/>
    <mergeCell ref="P31:P54"/>
    <mergeCell ref="R37:R38"/>
    <mergeCell ref="B7:B30"/>
    <mergeCell ref="C49:C50"/>
    <mergeCell ref="W7:W30"/>
    <mergeCell ref="R21:R22"/>
    <mergeCell ref="O23:O24"/>
    <mergeCell ref="R23:R24"/>
    <mergeCell ref="O25:O26"/>
    <mergeCell ref="R25:R26"/>
    <mergeCell ref="O7:O8"/>
    <mergeCell ref="P7:P30"/>
    <mergeCell ref="R29:R30"/>
    <mergeCell ref="R19:R20"/>
    <mergeCell ref="O21:O22"/>
    <mergeCell ref="M7:M127"/>
    <mergeCell ref="F27:F28"/>
    <mergeCell ref="C25:C26"/>
    <mergeCell ref="F25:F26"/>
    <mergeCell ref="C19:C20"/>
    <mergeCell ref="F19:F20"/>
    <mergeCell ref="C33:C34"/>
    <mergeCell ref="F33:F34"/>
    <mergeCell ref="C53:C54"/>
    <mergeCell ref="F35:F36"/>
    <mergeCell ref="C37:C38"/>
    <mergeCell ref="C7:C8"/>
    <mergeCell ref="F7:F8"/>
    <mergeCell ref="C9:C10"/>
    <mergeCell ref="F9:F10"/>
    <mergeCell ref="C77:C78"/>
    <mergeCell ref="F77:F78"/>
    <mergeCell ref="K31:K54"/>
    <mergeCell ref="K55:K78"/>
    <mergeCell ref="C71:C72"/>
    <mergeCell ref="C21:C22"/>
    <mergeCell ref="F21:F22"/>
    <mergeCell ref="C29:C30"/>
    <mergeCell ref="F29:F30"/>
    <mergeCell ref="C23:C24"/>
    <mergeCell ref="F23:F24"/>
    <mergeCell ref="C27:C28"/>
    <mergeCell ref="F37:F38"/>
    <mergeCell ref="C51:C52"/>
    <mergeCell ref="F51:F52"/>
    <mergeCell ref="C39:C40"/>
    <mergeCell ref="F39:F40"/>
    <mergeCell ref="C41:C42"/>
    <mergeCell ref="F41:F42"/>
    <mergeCell ref="D31:D54"/>
    <mergeCell ref="C3:C5"/>
    <mergeCell ref="C17:C18"/>
    <mergeCell ref="F17:F18"/>
    <mergeCell ref="J6:K6"/>
    <mergeCell ref="C15:C16"/>
    <mergeCell ref="F15:F16"/>
    <mergeCell ref="G3:H3"/>
    <mergeCell ref="G4:H4"/>
    <mergeCell ref="G5:H5"/>
    <mergeCell ref="C11:C12"/>
    <mergeCell ref="F11:F12"/>
    <mergeCell ref="F13:F14"/>
    <mergeCell ref="A6:C6"/>
    <mergeCell ref="C13:C14"/>
    <mergeCell ref="K7:K30"/>
    <mergeCell ref="J3:K3"/>
    <mergeCell ref="J4:K4"/>
    <mergeCell ref="J5:K5"/>
    <mergeCell ref="B3:B5"/>
    <mergeCell ref="A3:A5"/>
    <mergeCell ref="A7:A79"/>
    <mergeCell ref="C79:K79"/>
    <mergeCell ref="D7:D30"/>
    <mergeCell ref="E7:E30"/>
  </mergeCells>
  <phoneticPr fontId="3"/>
  <printOptions horizontalCentered="1"/>
  <pageMargins left="7.874015748031496E-2" right="7.874015748031496E-2" top="1.1417322834645669" bottom="0.35433070866141736" header="0.51181102362204722" footer="0.31496062992125984"/>
  <pageSetup paperSize="9" scale="40" orientation="portrait" r:id="rId1"/>
  <rowBreaks count="1" manualBreakCount="1">
    <brk id="7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zoomScale="70" zoomScaleNormal="70" workbookViewId="0">
      <selection activeCell="U1" sqref="U1"/>
    </sheetView>
  </sheetViews>
  <sheetFormatPr defaultColWidth="8.875" defaultRowHeight="15" customHeight="1"/>
  <cols>
    <col min="1" max="1" width="14.625" style="140" customWidth="1"/>
    <col min="2" max="2" width="15.25" style="140" customWidth="1"/>
    <col min="3" max="3" width="10.75" style="140" customWidth="1"/>
    <col min="4" max="4" width="9.5" style="140" customWidth="1"/>
    <col min="5" max="6" width="8.5" style="81" customWidth="1"/>
    <col min="7" max="7" width="9.375" style="81" customWidth="1"/>
    <col min="8" max="8" width="12.5" style="116" customWidth="1"/>
    <col min="9" max="9" width="18.25" style="81" customWidth="1"/>
    <col min="10" max="10" width="18.875" style="81" customWidth="1"/>
    <col min="11" max="11" width="12.125" style="116" customWidth="1"/>
    <col min="12" max="12" width="17" style="81" customWidth="1"/>
    <col min="13" max="13" width="18.25" style="81" customWidth="1"/>
    <col min="14" max="14" width="14.25" style="140" customWidth="1"/>
    <col min="15" max="15" width="17" style="140" customWidth="1"/>
    <col min="16" max="16" width="18.25" style="140" customWidth="1"/>
    <col min="17" max="17" width="11.75" style="140" customWidth="1"/>
    <col min="18" max="18" width="17" style="140" customWidth="1"/>
    <col min="19" max="19" width="18.25" style="140" customWidth="1"/>
    <col min="20" max="20" width="11.5" style="140" customWidth="1"/>
    <col min="21" max="21" width="10.125" style="140" customWidth="1"/>
    <col min="22" max="22" width="18.25" style="140" customWidth="1"/>
    <col min="23" max="23" width="14.375" style="140" customWidth="1"/>
    <col min="24" max="24" width="13.375" style="140" customWidth="1"/>
    <col min="25" max="25" width="15.75" style="140" customWidth="1"/>
    <col min="26" max="26" width="17.5" style="140" customWidth="1"/>
    <col min="27" max="16384" width="8.875" style="140"/>
  </cols>
  <sheetData>
    <row r="1" spans="1:26" ht="23.25" customHeight="1">
      <c r="A1" s="283" t="s">
        <v>900</v>
      </c>
      <c r="I1" s="328"/>
      <c r="J1" s="328"/>
      <c r="O1" s="215"/>
      <c r="Z1" s="329"/>
    </row>
    <row r="3" spans="1:26" s="288" customFormat="1" ht="42" customHeight="1">
      <c r="A3" s="588" t="s">
        <v>521</v>
      </c>
      <c r="B3" s="588" t="s">
        <v>522</v>
      </c>
      <c r="C3" s="330" t="s">
        <v>121</v>
      </c>
      <c r="D3" s="588" t="s">
        <v>13</v>
      </c>
      <c r="E3" s="588"/>
      <c r="F3" s="331" t="s">
        <v>439</v>
      </c>
      <c r="G3" s="332" t="s">
        <v>76</v>
      </c>
      <c r="H3" s="333" t="s">
        <v>980</v>
      </c>
      <c r="I3" s="71" t="s">
        <v>981</v>
      </c>
      <c r="J3" s="71" t="s">
        <v>982</v>
      </c>
      <c r="K3" s="333" t="s">
        <v>901</v>
      </c>
      <c r="L3" s="71" t="s">
        <v>902</v>
      </c>
      <c r="M3" s="71" t="s">
        <v>903</v>
      </c>
      <c r="N3" s="333" t="s">
        <v>101</v>
      </c>
      <c r="O3" s="71" t="s">
        <v>102</v>
      </c>
      <c r="P3" s="71" t="s">
        <v>103</v>
      </c>
      <c r="Q3" s="333" t="s">
        <v>904</v>
      </c>
      <c r="R3" s="71" t="s">
        <v>905</v>
      </c>
      <c r="S3" s="71" t="s">
        <v>906</v>
      </c>
      <c r="T3" s="333" t="s">
        <v>104</v>
      </c>
      <c r="U3" s="71" t="s">
        <v>105</v>
      </c>
      <c r="V3" s="71" t="s">
        <v>106</v>
      </c>
      <c r="W3" s="71" t="s">
        <v>107</v>
      </c>
      <c r="X3" s="71" t="s">
        <v>88</v>
      </c>
      <c r="Y3" s="71" t="s">
        <v>107</v>
      </c>
      <c r="Z3" s="583" t="s">
        <v>623</v>
      </c>
    </row>
    <row r="4" spans="1:26" s="288" customFormat="1" ht="24.6" customHeight="1">
      <c r="A4" s="606"/>
      <c r="B4" s="606"/>
      <c r="C4" s="248" t="s">
        <v>564</v>
      </c>
      <c r="D4" s="548" t="s">
        <v>61</v>
      </c>
      <c r="E4" s="548"/>
      <c r="F4" s="164" t="s">
        <v>74</v>
      </c>
      <c r="G4" s="164" t="s">
        <v>77</v>
      </c>
      <c r="H4" s="289" t="s">
        <v>73</v>
      </c>
      <c r="I4" s="244" t="s">
        <v>72</v>
      </c>
      <c r="J4" s="244" t="s">
        <v>71</v>
      </c>
      <c r="K4" s="289" t="s">
        <v>81</v>
      </c>
      <c r="L4" s="244" t="s">
        <v>82</v>
      </c>
      <c r="M4" s="244" t="s">
        <v>83</v>
      </c>
      <c r="N4" s="289" t="s">
        <v>81</v>
      </c>
      <c r="O4" s="244" t="s">
        <v>82</v>
      </c>
      <c r="P4" s="244" t="s">
        <v>83</v>
      </c>
      <c r="Q4" s="289" t="s">
        <v>81</v>
      </c>
      <c r="R4" s="244" t="s">
        <v>82</v>
      </c>
      <c r="S4" s="244" t="s">
        <v>83</v>
      </c>
      <c r="T4" s="289" t="s">
        <v>85</v>
      </c>
      <c r="U4" s="244" t="s">
        <v>87</v>
      </c>
      <c r="V4" s="244" t="s">
        <v>83</v>
      </c>
      <c r="W4" s="244" t="s">
        <v>83</v>
      </c>
      <c r="X4" s="244" t="s">
        <v>108</v>
      </c>
      <c r="Y4" s="244" t="s">
        <v>111</v>
      </c>
      <c r="Z4" s="584"/>
    </row>
    <row r="5" spans="1:26" s="288" customFormat="1" ht="54" customHeight="1">
      <c r="A5" s="589"/>
      <c r="B5" s="589"/>
      <c r="C5" s="334" t="s">
        <v>57</v>
      </c>
      <c r="D5" s="600" t="s">
        <v>60</v>
      </c>
      <c r="E5" s="600"/>
      <c r="F5" s="335" t="s">
        <v>62</v>
      </c>
      <c r="G5" s="335" t="s">
        <v>533</v>
      </c>
      <c r="H5" s="336" t="s">
        <v>534</v>
      </c>
      <c r="I5" s="72" t="s">
        <v>78</v>
      </c>
      <c r="J5" s="337" t="s">
        <v>907</v>
      </c>
      <c r="K5" s="336" t="s">
        <v>535</v>
      </c>
      <c r="L5" s="72" t="s">
        <v>536</v>
      </c>
      <c r="M5" s="337" t="s">
        <v>908</v>
      </c>
      <c r="N5" s="336" t="s">
        <v>537</v>
      </c>
      <c r="O5" s="72" t="s">
        <v>538</v>
      </c>
      <c r="P5" s="337" t="s">
        <v>909</v>
      </c>
      <c r="Q5" s="336" t="s">
        <v>539</v>
      </c>
      <c r="R5" s="72" t="s">
        <v>540</v>
      </c>
      <c r="S5" s="337" t="s">
        <v>910</v>
      </c>
      <c r="T5" s="336" t="s">
        <v>453</v>
      </c>
      <c r="U5" s="72" t="s">
        <v>454</v>
      </c>
      <c r="V5" s="337" t="s">
        <v>911</v>
      </c>
      <c r="W5" s="72" t="s">
        <v>541</v>
      </c>
      <c r="X5" s="213" t="s">
        <v>621</v>
      </c>
      <c r="Y5" s="72" t="s">
        <v>622</v>
      </c>
      <c r="Z5" s="584"/>
    </row>
    <row r="6" spans="1:26" s="341" customFormat="1" ht="36" customHeight="1">
      <c r="A6" s="581" t="s">
        <v>312</v>
      </c>
      <c r="B6" s="582"/>
      <c r="C6" s="338" t="s">
        <v>754</v>
      </c>
      <c r="D6" s="601" t="s">
        <v>509</v>
      </c>
      <c r="E6" s="602"/>
      <c r="F6" s="338" t="s">
        <v>510</v>
      </c>
      <c r="G6" s="339" t="s">
        <v>461</v>
      </c>
      <c r="H6" s="73" t="s">
        <v>492</v>
      </c>
      <c r="I6" s="214" t="s">
        <v>511</v>
      </c>
      <c r="J6" s="214" t="s">
        <v>433</v>
      </c>
      <c r="K6" s="73" t="s">
        <v>434</v>
      </c>
      <c r="L6" s="73" t="s">
        <v>435</v>
      </c>
      <c r="M6" s="214" t="s">
        <v>436</v>
      </c>
      <c r="N6" s="73" t="s">
        <v>492</v>
      </c>
      <c r="O6" s="214" t="s">
        <v>512</v>
      </c>
      <c r="P6" s="214" t="s">
        <v>433</v>
      </c>
      <c r="Q6" s="73" t="s">
        <v>492</v>
      </c>
      <c r="R6" s="214" t="s">
        <v>513</v>
      </c>
      <c r="S6" s="214" t="s">
        <v>437</v>
      </c>
      <c r="T6" s="73" t="s">
        <v>492</v>
      </c>
      <c r="U6" s="340" t="s">
        <v>317</v>
      </c>
      <c r="V6" s="214" t="s">
        <v>438</v>
      </c>
      <c r="W6" s="340" t="s">
        <v>544</v>
      </c>
      <c r="X6" s="214" t="s">
        <v>755</v>
      </c>
      <c r="Y6" s="340" t="s">
        <v>545</v>
      </c>
      <c r="Z6" s="585"/>
    </row>
    <row r="7" spans="1:26" ht="15" customHeight="1">
      <c r="A7" s="583" t="s">
        <v>912</v>
      </c>
      <c r="B7" s="588" t="s">
        <v>45</v>
      </c>
      <c r="C7" s="586">
        <f>'ｼｰﾄNO.3（表-3）59頁'!$F$30</f>
        <v>9</v>
      </c>
      <c r="D7" s="216" t="s">
        <v>65</v>
      </c>
      <c r="E7" s="342">
        <f>'ｼｰﾄNO.4（表-4）60頁'!K6</f>
        <v>772.34999999999991</v>
      </c>
      <c r="F7" s="590">
        <f>'ｼｰﾄNO.4（表-4）60頁'!C6/1000</f>
        <v>1.054</v>
      </c>
      <c r="G7" s="590">
        <f>'ｼｰﾄNO.4（表-4）60頁'!C6/1000/('ｼｰﾄNO.4（表-4）60頁'!H6/3600)</f>
        <v>29.643750000000001</v>
      </c>
      <c r="H7" s="219">
        <f>-2.71095565/G7-0.09453616*G7+0.00089493*G7^2+3.15403637</f>
        <v>1.0466003564631281</v>
      </c>
      <c r="I7" s="592">
        <v>10000</v>
      </c>
      <c r="J7" s="343">
        <f>C7*E7*F7*H7/1000000*I7</f>
        <v>76.679301754914221</v>
      </c>
      <c r="K7" s="219">
        <f>1501.20185/G7-2.40935*G7+0.02115*G7^2+174.47635</f>
        <v>172.28121255158959</v>
      </c>
      <c r="L7" s="592">
        <v>2891</v>
      </c>
      <c r="M7" s="343">
        <f>C7*E7*F7*K7/1000000*L7</f>
        <v>3649.0791427542326</v>
      </c>
      <c r="N7" s="219">
        <f>-0.25063622/G7-0.00657231*G7+0.00005332*G7^2+0.29056757</f>
        <v>0.13413976437914132</v>
      </c>
      <c r="O7" s="592">
        <v>840100</v>
      </c>
      <c r="P7" s="343">
        <f>C7*E7*F7*N7/1000000*O7</f>
        <v>825.63062738522092</v>
      </c>
      <c r="Q7" s="219">
        <f>0.093055673/G7-0.0002682273*G7+0.00000218*G7^2+0.0173678037</f>
        <v>1.4471352818974903E-2</v>
      </c>
      <c r="R7" s="592">
        <v>482200</v>
      </c>
      <c r="S7" s="343">
        <f>C7*E7*F7*Q7/1000000*R7</f>
        <v>51.12503392653209</v>
      </c>
      <c r="T7" s="219">
        <f>0.630901162/G7-0.001006579*G7+0.000008915*G7^2+0.0072170055</f>
        <v>6.4950742292543343E-3</v>
      </c>
      <c r="U7" s="592">
        <v>160</v>
      </c>
      <c r="V7" s="343">
        <f>C7*E7*F7*T7*U7</f>
        <v>7613.7983889648076</v>
      </c>
      <c r="W7" s="597">
        <f>SUM(J7:J30)+SUM(M7:M30)+SUM(P7:P30)+SUM(S7:S30)+SUM(V7:V30)</f>
        <v>140897.94643641738</v>
      </c>
      <c r="X7" s="597">
        <f>'ｼｰﾄNO.3（表-3）59頁'!F32</f>
        <v>11</v>
      </c>
      <c r="Y7" s="597">
        <f>W7*X7</f>
        <v>1549877.4108005911</v>
      </c>
      <c r="Z7" s="594">
        <f>SUM(Y:Y)</f>
        <v>9440162.4112399649</v>
      </c>
    </row>
    <row r="8" spans="1:26" ht="15" customHeight="1">
      <c r="A8" s="584"/>
      <c r="B8" s="589"/>
      <c r="C8" s="587"/>
      <c r="D8" s="217" t="s">
        <v>66</v>
      </c>
      <c r="E8" s="344">
        <f>'ｼｰﾄNO.4（表-4）60頁'!K7</f>
        <v>40.650000000000006</v>
      </c>
      <c r="F8" s="591"/>
      <c r="G8" s="591"/>
      <c r="H8" s="218">
        <f>12.28697452/G7-0.05907844*G7+0.00051753*G7^2+2.69979197</f>
        <v>1.8177538030136606</v>
      </c>
      <c r="I8" s="593"/>
      <c r="J8" s="345">
        <f>C7*E8*F7*H8/1000000*I7</f>
        <v>7.0093659118950544</v>
      </c>
      <c r="K8" s="218">
        <f>908.52069/G7-23.49889*G7+0.18396*G7^2+1364.81344</f>
        <v>860.52138928887075</v>
      </c>
      <c r="L8" s="593"/>
      <c r="M8" s="345">
        <f>C7*E8*F7*K8/1000000*L7</f>
        <v>959.29776275628376</v>
      </c>
      <c r="N8" s="218">
        <f>9.45345681/G7-0.14325844*G7+0.00124097*G7^2+5.98054622</f>
        <v>3.1432357925564749</v>
      </c>
      <c r="O8" s="593"/>
      <c r="P8" s="345">
        <f>C7*E8*F7*N8/1000000*O7</f>
        <v>1018.2434290554703</v>
      </c>
      <c r="Q8" s="218">
        <f>0.6037810576/G7-0.0052863845*G7+0.000423961*G7^2+0.3189943526</f>
        <v>0.55521053643067186</v>
      </c>
      <c r="R8" s="593"/>
      <c r="S8" s="345">
        <f>C7*E8*F7*Q8/1000000*R7</f>
        <v>103.235383532017</v>
      </c>
      <c r="T8" s="218">
        <f>0.2877659/G7-0.008903887*G7+0.000069093*G7^2+0.516185391</f>
        <v>0.32266386964951294</v>
      </c>
      <c r="U8" s="593"/>
      <c r="V8" s="345">
        <f>C7*E8*F7*T8*U7</f>
        <v>19907.374696589301</v>
      </c>
      <c r="W8" s="598"/>
      <c r="X8" s="598"/>
      <c r="Y8" s="598"/>
      <c r="Z8" s="595"/>
    </row>
    <row r="9" spans="1:26" ht="15" customHeight="1">
      <c r="A9" s="584"/>
      <c r="B9" s="588" t="s">
        <v>46</v>
      </c>
      <c r="C9" s="586">
        <f>'ｼｰﾄNO.3（表-3）59頁'!$F$30</f>
        <v>9</v>
      </c>
      <c r="D9" s="216" t="s">
        <v>65</v>
      </c>
      <c r="E9" s="342">
        <f>'ｼｰﾄNO.4（表-4）60頁'!K8</f>
        <v>148.19999999999999</v>
      </c>
      <c r="F9" s="590">
        <f>'ｼｰﾄNO.4（表-4）60頁'!C8/1000</f>
        <v>0.76100000000000001</v>
      </c>
      <c r="G9" s="590">
        <f>'ｼｰﾄNO.4（表-4）60頁'!C8/1000/('ｼｰﾄNO.4（表-4）60頁'!H8/3600)</f>
        <v>27.955102040816328</v>
      </c>
      <c r="H9" s="219">
        <f>-2.71095565/G9-0.09453616*G9+0.00089493*G9^2+3.15403637</f>
        <v>1.1136698404962537</v>
      </c>
      <c r="I9" s="592">
        <v>10000</v>
      </c>
      <c r="J9" s="343">
        <f t="shared" ref="J9" si="0">C9*E9*F9*H9/1000000*I9</f>
        <v>11.303991661062202</v>
      </c>
      <c r="K9" s="219">
        <f t="shared" ref="K9" si="1">1501.20185/G9-2.40935*G9+0.02115*G9^2+174.47635</f>
        <v>177.35165078551574</v>
      </c>
      <c r="L9" s="592">
        <v>2891</v>
      </c>
      <c r="M9" s="343">
        <f t="shared" ref="M9" si="2">C9*E9*F9*K9/1000000*L9</f>
        <v>520.42565413220871</v>
      </c>
      <c r="N9" s="219">
        <f t="shared" ref="N9" si="3">-0.25063622/G9-0.00657231*G9+0.00005332*G9^2+0.29056757</f>
        <v>0.13954122906549798</v>
      </c>
      <c r="O9" s="592">
        <v>840100</v>
      </c>
      <c r="P9" s="343">
        <f t="shared" ref="P9" si="4">C9*E9*F9*N9/1000000*O9</f>
        <v>118.98957091918027</v>
      </c>
      <c r="Q9" s="219">
        <f t="shared" ref="Q9" si="5">0.093055673/G9-0.0002682273*G9+0.00000218*G9^2+0.0173678037</f>
        <v>1.4901879955931608E-2</v>
      </c>
      <c r="R9" s="592">
        <v>482200</v>
      </c>
      <c r="S9" s="343">
        <f t="shared" ref="S9" si="6">C9*E9*F9*Q9/1000000*R9</f>
        <v>7.2936284604374961</v>
      </c>
      <c r="T9" s="219">
        <f t="shared" ref="T9" si="7">0.630901162/G9-0.001006579*G9+0.000008915*G9^2+0.0072170055</f>
        <v>8.6133226666943175E-3</v>
      </c>
      <c r="U9" s="592">
        <v>160</v>
      </c>
      <c r="V9" s="343">
        <f t="shared" ref="V9" si="8">C9*E9*F9*T9*U9</f>
        <v>1398.8336443406185</v>
      </c>
      <c r="W9" s="598"/>
      <c r="X9" s="598"/>
      <c r="Y9" s="598"/>
      <c r="Z9" s="595"/>
    </row>
    <row r="10" spans="1:26" ht="15" customHeight="1">
      <c r="A10" s="584"/>
      <c r="B10" s="589"/>
      <c r="C10" s="587"/>
      <c r="D10" s="217" t="s">
        <v>66</v>
      </c>
      <c r="E10" s="344">
        <f>'ｼｰﾄNO.4（表-4）60頁'!K9</f>
        <v>7.8000000000000007</v>
      </c>
      <c r="F10" s="591"/>
      <c r="G10" s="591"/>
      <c r="H10" s="218">
        <f>12.28697452/G9-0.05907844*G9+0.00051753*G9^2+2.69979197</f>
        <v>1.8922167930969032</v>
      </c>
      <c r="I10" s="593"/>
      <c r="J10" s="345">
        <f t="shared" ref="J10" si="9">C9*E10*F9*H10/1000000*I9</f>
        <v>1.0108638396418139</v>
      </c>
      <c r="K10" s="218">
        <f t="shared" ref="K10" si="10">908.52069/G9-23.49889*G9+0.18396*G9^2+1364.81344</f>
        <v>884.1613350837506</v>
      </c>
      <c r="L10" s="593"/>
      <c r="M10" s="345">
        <f t="shared" ref="M10" si="11">C9*E10*F9*K10/1000000*L9</f>
        <v>136.55304206474631</v>
      </c>
      <c r="N10" s="218">
        <f t="shared" ref="N10" si="12">9.45345681/G9-0.14325844*G9+0.00124097*G9^2+5.98054622</f>
        <v>3.2837104457456512</v>
      </c>
      <c r="O10" s="593"/>
      <c r="P10" s="345">
        <f t="shared" ref="P10" si="13">C9*E10*F9*N10/1000000*O9</f>
        <v>147.37289269037666</v>
      </c>
      <c r="Q10" s="218">
        <f t="shared" ref="Q10" si="14">0.6037810576/G9-0.0052863845*G9+0.000423961*G9^2+0.3189943526</f>
        <v>0.52413149597119757</v>
      </c>
      <c r="R10" s="593"/>
      <c r="S10" s="345">
        <f t="shared" ref="S10" si="15">C9*E10*F9*Q10/1000000*R9</f>
        <v>13.501724216683765</v>
      </c>
      <c r="T10" s="218">
        <f t="shared" ref="T10" si="16">0.2877659/G9-0.008903887*G9+0.000069093*G9^2+0.516185391</f>
        <v>0.33156551285231084</v>
      </c>
      <c r="U10" s="593"/>
      <c r="V10" s="345">
        <f t="shared" ref="V10" si="17">C9*E10*F9*T10*U9</f>
        <v>2834.0734625117957</v>
      </c>
      <c r="W10" s="598"/>
      <c r="X10" s="598"/>
      <c r="Y10" s="598"/>
      <c r="Z10" s="595"/>
    </row>
    <row r="11" spans="1:26" ht="15" customHeight="1">
      <c r="A11" s="584"/>
      <c r="B11" s="588" t="s">
        <v>47</v>
      </c>
      <c r="C11" s="586">
        <f>'ｼｰﾄNO.3（表-3）59頁'!$F$30</f>
        <v>9</v>
      </c>
      <c r="D11" s="216" t="s">
        <v>65</v>
      </c>
      <c r="E11" s="342">
        <f>'ｼｰﾄNO.4（表-4）60頁'!K10</f>
        <v>41.8</v>
      </c>
      <c r="F11" s="590">
        <f>'ｼｰﾄNO.4（表-4）60頁'!C10/1000</f>
        <v>0.82399999999999995</v>
      </c>
      <c r="G11" s="590">
        <f>'ｼｰﾄNO.4（表-4）60頁'!C10/1000/('ｼｰﾄNO.4（表-4）60頁'!H10/3600)</f>
        <v>24.927731092436975</v>
      </c>
      <c r="H11" s="219">
        <f>-2.71095565/G11-0.09453616*G11+0.00089493*G11^2+3.15403637</f>
        <v>1.2448139350987362</v>
      </c>
      <c r="I11" s="592">
        <v>10000</v>
      </c>
      <c r="J11" s="343">
        <f t="shared" ref="J11" si="18">C11*E11*F11*H11/1000000*I11</f>
        <v>3.8587837796453504</v>
      </c>
      <c r="K11" s="219">
        <f t="shared" ref="K11" si="19">1501.20185/G11-2.40935*G11+0.02115*G11^2+174.47635</f>
        <v>187.78131877798023</v>
      </c>
      <c r="L11" s="592">
        <v>2891</v>
      </c>
      <c r="M11" s="343">
        <f t="shared" ref="M11" si="20">C11*E11*F11*K11/1000000*L11</f>
        <v>168.28541549313667</v>
      </c>
      <c r="N11" s="219">
        <f t="shared" ref="N11" si="21">-0.25063622/G11-0.00657231*G11+0.00005332*G11^2+0.29056757</f>
        <v>0.14981288928616346</v>
      </c>
      <c r="O11" s="592">
        <v>840100</v>
      </c>
      <c r="P11" s="343">
        <f t="shared" ref="P11" si="22">C11*E11*F11*N11/1000000*O11</f>
        <v>39.014510962231988</v>
      </c>
      <c r="Q11" s="219">
        <f t="shared" ref="Q11" si="23">0.093055673/G11-0.0002682273*G11+0.00000218*G11^2+0.0173678037</f>
        <v>1.5769157934508494E-2</v>
      </c>
      <c r="R11" s="592">
        <v>482200</v>
      </c>
      <c r="S11" s="343">
        <f t="shared" ref="S11" si="24">C11*E11*F11*Q11/1000000*R11</f>
        <v>2.3571201028210909</v>
      </c>
      <c r="T11" s="219">
        <f t="shared" ref="T11" si="25">0.630901162/G11-0.001006579*G11+0.000008915*G11^2+0.0072170055</f>
        <v>1.2974191796488203E-2</v>
      </c>
      <c r="U11" s="592">
        <v>160</v>
      </c>
      <c r="V11" s="343">
        <f t="shared" ref="V11" si="26">C11*E11*F11*T11*U11</f>
        <v>643.49666335411553</v>
      </c>
      <c r="W11" s="598"/>
      <c r="X11" s="598"/>
      <c r="Y11" s="598"/>
      <c r="Z11" s="595"/>
    </row>
    <row r="12" spans="1:26" ht="15" customHeight="1">
      <c r="A12" s="584"/>
      <c r="B12" s="589"/>
      <c r="C12" s="587"/>
      <c r="D12" s="217" t="s">
        <v>66</v>
      </c>
      <c r="E12" s="344">
        <f>'ｼｰﾄNO.4（表-4）60頁'!K11</f>
        <v>2.2000000000000002</v>
      </c>
      <c r="F12" s="591"/>
      <c r="G12" s="591"/>
      <c r="H12" s="218">
        <f>12.28697452/G11-0.05907844*G11+0.00051753*G11^2+2.69979197</f>
        <v>2.0415932365843594</v>
      </c>
      <c r="I12" s="593"/>
      <c r="J12" s="345">
        <f t="shared" ref="J12" si="27">C11*E12*F11*H12/1000000*I11</f>
        <v>0.33309001973521141</v>
      </c>
      <c r="K12" s="218">
        <f t="shared" ref="K12" si="28">908.52069/G11-23.49889*G11+0.18396*G11^2+1364.81344</f>
        <v>929.79684512079211</v>
      </c>
      <c r="L12" s="593"/>
      <c r="M12" s="345">
        <f t="shared" ref="M12" si="29">C11*E12*F11*K12/1000000*L11</f>
        <v>43.855953920405135</v>
      </c>
      <c r="N12" s="218">
        <f t="shared" ref="N12" si="30">9.45345681/G11-0.14325844*G11+0.00124097*G11^2+5.98054622</f>
        <v>3.5598014520360097</v>
      </c>
      <c r="O12" s="593"/>
      <c r="P12" s="345">
        <f t="shared" ref="P12" si="31">C11*E12*F11*N12/1000000*O11</f>
        <v>48.792060913481663</v>
      </c>
      <c r="Q12" s="218">
        <f t="shared" ref="Q12" si="32">0.6037810576/G11-0.0052863845*G11+0.000423961*G11^2+0.3189943526</f>
        <v>0.47488392074238339</v>
      </c>
      <c r="R12" s="593"/>
      <c r="S12" s="345">
        <f t="shared" ref="S12" si="33">C11*E12*F11*Q12/1000000*R11</f>
        <v>3.736001766490276</v>
      </c>
      <c r="T12" s="218">
        <f t="shared" ref="T12" si="34">0.2877659/G11-0.008903887*G11+0.000069093*G11^2+0.516185391</f>
        <v>0.34870951917435056</v>
      </c>
      <c r="U12" s="593"/>
      <c r="V12" s="345">
        <f t="shared" ref="V12" si="35">C11*E12*F11*T12*U11</f>
        <v>910.2824875573383</v>
      </c>
      <c r="W12" s="598"/>
      <c r="X12" s="598"/>
      <c r="Y12" s="598"/>
      <c r="Z12" s="595"/>
    </row>
    <row r="13" spans="1:26" ht="15" customHeight="1">
      <c r="A13" s="584"/>
      <c r="B13" s="588" t="s">
        <v>48</v>
      </c>
      <c r="C13" s="586">
        <f>'ｼｰﾄNO.3（表-3）59頁'!$F$30</f>
        <v>9</v>
      </c>
      <c r="D13" s="216" t="s">
        <v>65</v>
      </c>
      <c r="E13" s="342">
        <f>'ｼｰﾄNO.4（表-4）60頁'!K12</f>
        <v>753.34999999999991</v>
      </c>
      <c r="F13" s="590">
        <f>'ｼｰﾄNO.4（表-4）60頁'!C12/1000</f>
        <v>1.054</v>
      </c>
      <c r="G13" s="590">
        <f>'ｼｰﾄNO.4（表-4）60頁'!C12/1000/('ｼｰﾄNO.4（表-4）60頁'!H12/3600)</f>
        <v>30.6</v>
      </c>
      <c r="H13" s="219">
        <f>-2.71095565/G13-0.09453616*G13+0.00089493*G13^2+3.15403637</f>
        <v>1.0106132069045755</v>
      </c>
      <c r="I13" s="592">
        <v>10000</v>
      </c>
      <c r="J13" s="343">
        <f t="shared" ref="J13" si="36">C13*E13*F13*H13/1000000*I13</f>
        <v>72.221230280729358</v>
      </c>
      <c r="K13" s="219">
        <f t="shared" ref="K13" si="37">1501.20185/G13-2.40935*G13+0.02115*G13^2+174.47635</f>
        <v>169.61313798692811</v>
      </c>
      <c r="L13" s="592">
        <v>2891</v>
      </c>
      <c r="M13" s="343">
        <f t="shared" ref="M13" si="38">C13*E13*F13*K13/1000000*L13</f>
        <v>3504.1887711767467</v>
      </c>
      <c r="N13" s="219">
        <f t="shared" ref="N13" si="39">-0.25063622/G13-0.00657231*G13+0.00005332*G13^2+0.29056757</f>
        <v>0.13119087305620916</v>
      </c>
      <c r="O13" s="592">
        <v>840100</v>
      </c>
      <c r="P13" s="343">
        <f t="shared" ref="P13" si="40">C13*E13*F13*N13/1000000*O13</f>
        <v>787.61598160113681</v>
      </c>
      <c r="Q13" s="219">
        <f t="shared" ref="Q13" si="41">0.093055673/G13-0.0002682273*G13+0.00000218*G13^2+0.0173678037</f>
        <v>1.4242348185359476E-2</v>
      </c>
      <c r="R13" s="592">
        <v>482200</v>
      </c>
      <c r="S13" s="343">
        <f t="shared" ref="S13" si="42">C13*E13*F13*Q13/1000000*R13</f>
        <v>49.078210364257536</v>
      </c>
      <c r="T13" s="219">
        <f t="shared" ref="T13" si="43">0.630901162/G13-0.001006579*G13+0.000008915*G13^2+0.0072170055</f>
        <v>5.3810225326797346E-3</v>
      </c>
      <c r="U13" s="592">
        <v>160</v>
      </c>
      <c r="V13" s="343">
        <f t="shared" ref="V13" si="44">C13*E13*F13*T13*U13</f>
        <v>6152.6853569433151</v>
      </c>
      <c r="W13" s="598"/>
      <c r="X13" s="598"/>
      <c r="Y13" s="598"/>
      <c r="Z13" s="595"/>
    </row>
    <row r="14" spans="1:26" ht="15" customHeight="1">
      <c r="A14" s="584"/>
      <c r="B14" s="589"/>
      <c r="C14" s="587"/>
      <c r="D14" s="217" t="s">
        <v>66</v>
      </c>
      <c r="E14" s="344">
        <f>'ｼｰﾄNO.4（表-4）60頁'!K13</f>
        <v>39.650000000000006</v>
      </c>
      <c r="F14" s="591"/>
      <c r="G14" s="591"/>
      <c r="H14" s="218">
        <f>12.28697452/G13-0.05907844*G13+0.00051753*G13^2+2.69979197</f>
        <v>1.7781212118326797</v>
      </c>
      <c r="I14" s="593"/>
      <c r="J14" s="345">
        <f t="shared" ref="J14" si="45">C13*E14*F13*H14/1000000*I13</f>
        <v>6.6878677238238646</v>
      </c>
      <c r="K14" s="218">
        <f t="shared" ref="K14" si="46">908.52069/G13-23.49889*G13+0.18396*G13^2+1364.81344</f>
        <v>847.69041022745091</v>
      </c>
      <c r="L14" s="593"/>
      <c r="M14" s="345">
        <f t="shared" ref="M14" si="47">C13*E14*F13*K14/1000000*L13</f>
        <v>921.74687465362149</v>
      </c>
      <c r="N14" s="218">
        <f t="shared" ref="N14" si="48">9.45345681/G13-0.14325844*G13+0.00124097*G13^2+5.98054622</f>
        <v>3.0677691222588237</v>
      </c>
      <c r="O14" s="593"/>
      <c r="P14" s="345">
        <f t="shared" ref="P14" si="49">C13*E14*F13*N14/1000000*O13</f>
        <v>969.3485579106931</v>
      </c>
      <c r="Q14" s="218">
        <f t="shared" ref="Q14" si="50">0.6037810576/G13-0.0052863845*G13+0.000423961*G13^2+0.3189943526</f>
        <v>0.57394251597111112</v>
      </c>
      <c r="R14" s="593"/>
      <c r="S14" s="345">
        <f t="shared" ref="S14" si="51">C13*E14*F13*Q14/1000000*R13</f>
        <v>104.09309346591348</v>
      </c>
      <c r="T14" s="218">
        <f t="shared" ref="T14" si="52">0.2877659/G13-0.008903887*G13+0.000069093*G13^2+0.516185391</f>
        <v>0.31782648465908503</v>
      </c>
      <c r="U14" s="593"/>
      <c r="V14" s="345">
        <f t="shared" ref="V14" si="53">C13*E14*F13*T14*U13</f>
        <v>19126.538500372259</v>
      </c>
      <c r="W14" s="598"/>
      <c r="X14" s="598"/>
      <c r="Y14" s="598"/>
      <c r="Z14" s="595"/>
    </row>
    <row r="15" spans="1:26" ht="15" customHeight="1">
      <c r="A15" s="584"/>
      <c r="B15" s="588" t="s">
        <v>49</v>
      </c>
      <c r="C15" s="586">
        <f>'ｼｰﾄNO.3（表-3）59頁'!$F$30</f>
        <v>9</v>
      </c>
      <c r="D15" s="216" t="s">
        <v>65</v>
      </c>
      <c r="E15" s="342">
        <f>'ｼｰﾄNO.4（表-4）60頁'!K14</f>
        <v>39.9</v>
      </c>
      <c r="F15" s="590">
        <f>'ｼｰﾄNO.4（表-4）60頁'!C14/1000</f>
        <v>0.84799999999999998</v>
      </c>
      <c r="G15" s="590">
        <f>'ｼｰﾄNO.4（表-4）60頁'!C14/1000/('ｼｰﾄNO.4（表-4）60頁'!H14/3600)</f>
        <v>22.613333333333333</v>
      </c>
      <c r="H15" s="219">
        <f>-2.71095565/G15-0.09453616*G15+0.00089493*G15^2+3.15403637</f>
        <v>1.3540095598927391</v>
      </c>
      <c r="I15" s="592">
        <v>10000</v>
      </c>
      <c r="J15" s="343">
        <f t="shared" ref="J15" si="54">C15*E15*F15*H15/1000000*I15</f>
        <v>4.1231865834794519</v>
      </c>
      <c r="K15" s="219">
        <f t="shared" ref="K15" si="55">1501.20185/G15-2.40935*G15+0.02115*G15^2+174.47635</f>
        <v>197.19393451102201</v>
      </c>
      <c r="L15" s="592">
        <v>2891</v>
      </c>
      <c r="M15" s="343">
        <f t="shared" ref="M15" si="56">C15*E15*F15*K15/1000000*L15</f>
        <v>173.60127136519699</v>
      </c>
      <c r="N15" s="219">
        <f t="shared" ref="N15" si="57">-0.25063622/G15-0.00657231*G15+0.00005332*G15^2+0.29056757</f>
        <v>0.15812804080870232</v>
      </c>
      <c r="O15" s="592">
        <v>840100</v>
      </c>
      <c r="P15" s="343">
        <f t="shared" ref="P15" si="58">C15*E15*F15*N15/1000000*O15</f>
        <v>40.453037045459503</v>
      </c>
      <c r="Q15" s="219">
        <f t="shared" ref="Q15" si="59">0.093055673/G15-0.0002682273*G15+0.00000218*G15^2+0.0173678037</f>
        <v>1.6532141236016248E-2</v>
      </c>
      <c r="R15" s="592">
        <v>482200</v>
      </c>
      <c r="S15" s="343">
        <f t="shared" ref="S15" si="60">C15*E15*F15*Q15/1000000*R15</f>
        <v>2.4275465706850095</v>
      </c>
      <c r="T15" s="219">
        <f t="shared" ref="T15" si="61">0.630901162/G15-0.001006579*G15+0.000008915*G15^2+0.0072170055</f>
        <v>1.6913219530124743E-2</v>
      </c>
      <c r="U15" s="592">
        <v>160</v>
      </c>
      <c r="V15" s="343">
        <f t="shared" ref="V15" si="62">C15*E15*F15*T15*U15</f>
        <v>824.05751824177446</v>
      </c>
      <c r="W15" s="598"/>
      <c r="X15" s="598"/>
      <c r="Y15" s="598"/>
      <c r="Z15" s="595"/>
    </row>
    <row r="16" spans="1:26" ht="15" customHeight="1">
      <c r="A16" s="584"/>
      <c r="B16" s="589"/>
      <c r="C16" s="587"/>
      <c r="D16" s="217" t="s">
        <v>66</v>
      </c>
      <c r="E16" s="344">
        <f>'ｼｰﾄNO.4（表-4）60頁'!K15</f>
        <v>2.1</v>
      </c>
      <c r="F16" s="591"/>
      <c r="G16" s="591"/>
      <c r="H16" s="218">
        <f>12.28697452/G15-0.05907844*G15+0.00051753*G15^2+2.69979197</f>
        <v>2.1718280043001132</v>
      </c>
      <c r="I16" s="593"/>
      <c r="J16" s="345">
        <f t="shared" ref="J16" si="63">C15*E16*F15*H16/1000000*I15</f>
        <v>0.34808321790518776</v>
      </c>
      <c r="K16" s="218">
        <f t="shared" ref="K16" si="64">908.52069/G15-23.49889*G15+0.18396*G15^2+1364.81344</f>
        <v>967.67184401344969</v>
      </c>
      <c r="L16" s="593"/>
      <c r="M16" s="345">
        <f t="shared" ref="M16" si="65">C15*E16*F15*K16/1000000*L15</f>
        <v>44.8367218856745</v>
      </c>
      <c r="N16" s="218">
        <f t="shared" ref="N16" si="66">9.45345681/G15-0.14325844*G15+0.00124097*G15^2+5.98054622</f>
        <v>3.7936292257149553</v>
      </c>
      <c r="O16" s="593"/>
      <c r="P16" s="345">
        <f t="shared" ref="P16" si="67">C15*E16*F15*N16/1000000*O15</f>
        <v>51.079133759590775</v>
      </c>
      <c r="Q16" s="218">
        <f t="shared" ref="Q16" si="68">0.6037810576/G15-0.0052863845*G15+0.000423961*G15^2+0.3189943526</f>
        <v>0.4429497043225048</v>
      </c>
      <c r="R16" s="593"/>
      <c r="S16" s="345">
        <f t="shared" ref="S16" si="69">C15*E16*F15*Q16/1000000*R15</f>
        <v>3.4232552162389305</v>
      </c>
      <c r="T16" s="218">
        <f t="shared" ref="T16" si="70">0.2877659/G15-0.008903887*G15+0.000069093*G15^2+0.516185391</f>
        <v>0.3628959160749422</v>
      </c>
      <c r="U16" s="593"/>
      <c r="V16" s="345">
        <f t="shared" ref="V16" si="71">C15*E16*F15*T16*U15</f>
        <v>930.59286817861016</v>
      </c>
      <c r="W16" s="598"/>
      <c r="X16" s="598"/>
      <c r="Y16" s="598"/>
      <c r="Z16" s="595"/>
    </row>
    <row r="17" spans="1:26" ht="15" customHeight="1">
      <c r="A17" s="584"/>
      <c r="B17" s="588" t="s">
        <v>50</v>
      </c>
      <c r="C17" s="586">
        <f>'ｼｰﾄNO.3（表-3）59頁'!$F$30</f>
        <v>9</v>
      </c>
      <c r="D17" s="216" t="s">
        <v>65</v>
      </c>
      <c r="E17" s="342">
        <f>'ｼｰﾄNO.4（表-4）60頁'!K16</f>
        <v>147.25</v>
      </c>
      <c r="F17" s="590">
        <f>'ｼｰﾄNO.4（表-4）60頁'!C16/1000</f>
        <v>0.91</v>
      </c>
      <c r="G17" s="590">
        <f>'ｼｰﾄNO.4（表-4）60頁'!C16/1000/('ｼｰﾄNO.4（表-4）60頁'!H16/3600)</f>
        <v>30.055045871559635</v>
      </c>
      <c r="H17" s="219">
        <f>-2.71095565/G17-0.09453616*G17+0.00089493*G17^2+3.15403637</f>
        <v>1.030943504144429</v>
      </c>
      <c r="I17" s="592">
        <v>10000</v>
      </c>
      <c r="J17" s="343">
        <f t="shared" ref="J17" si="72">C17*E17*F17*H17/1000000*I17</f>
        <v>12.432946697693382</v>
      </c>
      <c r="K17" s="219">
        <f t="shared" ref="K17" si="73">1501.20185/G17-2.40935*G17+0.02115*G17^2+174.47635</f>
        <v>171.11655572795735</v>
      </c>
      <c r="L17" s="592">
        <v>2891</v>
      </c>
      <c r="M17" s="343">
        <f t="shared" ref="M17" si="74">C17*E17*F17*K17/1000000*L17</f>
        <v>596.59461220292803</v>
      </c>
      <c r="N17" s="219">
        <f t="shared" ref="N17" si="75">-0.25063622/G17-0.00657231*G17+0.00005332*G17^2+0.29056757</f>
        <v>0.13286151647220723</v>
      </c>
      <c r="O17" s="592">
        <v>840100</v>
      </c>
      <c r="P17" s="343">
        <f t="shared" ref="P17" si="76">C17*E17*F17*N17/1000000*O17</f>
        <v>134.60754236429162</v>
      </c>
      <c r="Q17" s="219">
        <f t="shared" ref="Q17" si="77">0.093055673/G17-0.0002682273*G17+0.00000218*G17^2+0.0173678037</f>
        <v>1.4371601212148963E-2</v>
      </c>
      <c r="R17" s="592">
        <v>482200</v>
      </c>
      <c r="S17" s="343">
        <f t="shared" ref="S17" si="78">C17*E17*F17*Q17/1000000*R17</f>
        <v>8.3574073173375147</v>
      </c>
      <c r="T17" s="219">
        <f t="shared" ref="T17" si="79">0.630901162/G17-0.001006579*G17+0.000008915*G17^2+0.0072170055</f>
        <v>6.0087207101030028E-3</v>
      </c>
      <c r="U17" s="592">
        <v>160</v>
      </c>
      <c r="V17" s="343">
        <f t="shared" ref="V17" si="80">C17*E17*F17*T17*U17</f>
        <v>1159.4211168269189</v>
      </c>
      <c r="W17" s="598"/>
      <c r="X17" s="598"/>
      <c r="Y17" s="598"/>
      <c r="Z17" s="595"/>
    </row>
    <row r="18" spans="1:26" ht="15" customHeight="1">
      <c r="A18" s="584"/>
      <c r="B18" s="589"/>
      <c r="C18" s="587"/>
      <c r="D18" s="217" t="s">
        <v>66</v>
      </c>
      <c r="E18" s="344">
        <f>'ｼｰﾄNO.4（表-4）60頁'!K17</f>
        <v>7.75</v>
      </c>
      <c r="F18" s="591"/>
      <c r="G18" s="591"/>
      <c r="H18" s="218">
        <f>12.28697452/G17-0.05907844*G17+0.00051753*G17^2+2.69979197</f>
        <v>1.8004902841038075</v>
      </c>
      <c r="I18" s="593"/>
      <c r="J18" s="345">
        <f t="shared" ref="J18" si="81">C17*E18*F17*H18/1000000*I17</f>
        <v>1.1428161955777894</v>
      </c>
      <c r="K18" s="218">
        <f t="shared" ref="K18" si="82">908.52069/G17-23.49889*G17+0.18396*G17^2+1364.81344</f>
        <v>854.95391259522842</v>
      </c>
      <c r="L18" s="593"/>
      <c r="M18" s="345">
        <f t="shared" ref="M18" si="83">C17*E18*F17*K18/1000000*L17</f>
        <v>156.88318586992705</v>
      </c>
      <c r="N18" s="218">
        <f t="shared" ref="N18" si="84">9.45345681/G17-0.14325844*G17+0.00124097*G17^2+5.98054622</f>
        <v>3.11042070390894</v>
      </c>
      <c r="O18" s="593"/>
      <c r="P18" s="345">
        <f t="shared" ref="P18" si="85">C17*E18*F17*N18/1000000*O17</f>
        <v>165.85773224605546</v>
      </c>
      <c r="Q18" s="218">
        <f t="shared" ref="Q18" si="86">0.6037810576/G17-0.0052863845*G17+0.000423961*G17^2+0.3189943526</f>
        <v>0.56316742112801155</v>
      </c>
      <c r="R18" s="593"/>
      <c r="S18" s="345">
        <f t="shared" ref="S18" si="87">C17*E18*F17*Q18/1000000*R17</f>
        <v>17.236549603125507</v>
      </c>
      <c r="T18" s="218">
        <f t="shared" ref="T18" si="88">0.2877659/G17-0.008903887*G17+0.000069093*G17^2+0.516185391</f>
        <v>0.32056539374004506</v>
      </c>
      <c r="U18" s="593"/>
      <c r="V18" s="345">
        <f t="shared" ref="V18" si="89">C17*E18*F17*T18*U17</f>
        <v>3255.5339126664016</v>
      </c>
      <c r="W18" s="598"/>
      <c r="X18" s="598"/>
      <c r="Y18" s="598"/>
      <c r="Z18" s="595"/>
    </row>
    <row r="19" spans="1:26" ht="15" customHeight="1">
      <c r="A19" s="584"/>
      <c r="B19" s="588" t="s">
        <v>51</v>
      </c>
      <c r="C19" s="586">
        <f>'ｼｰﾄNO.3（表-3）59頁'!$F$30</f>
        <v>9</v>
      </c>
      <c r="D19" s="216" t="s">
        <v>65</v>
      </c>
      <c r="E19" s="342">
        <f>'ｼｰﾄNO.4（表-4）60頁'!K18</f>
        <v>54.15</v>
      </c>
      <c r="F19" s="590">
        <f>'ｼｰﾄNO.4（表-4）60頁'!C18/1000</f>
        <v>0.76100000000000001</v>
      </c>
      <c r="G19" s="590">
        <f>'ｼｰﾄNO.4（表-4）60頁'!C18/1000/('ｼｰﾄNO.4（表-4）60頁'!H18/3600)</f>
        <v>22.641322314049585</v>
      </c>
      <c r="H19" s="219">
        <f>-2.71095565/G19-0.09453616*G19+0.00089493*G19^2+3.15403637</f>
        <v>1.3526453340932798</v>
      </c>
      <c r="I19" s="592">
        <v>10000</v>
      </c>
      <c r="J19" s="343">
        <f t="shared" ref="J19" si="90">C19*E19*F19*H19/1000000*I19</f>
        <v>5.0166010641704384</v>
      </c>
      <c r="K19" s="219">
        <f t="shared" ref="K19" si="91">1501.20185/G19-2.40935*G19+0.02115*G19^2+174.47635</f>
        <v>197.07122317498113</v>
      </c>
      <c r="L19" s="592">
        <v>2891</v>
      </c>
      <c r="M19" s="343">
        <f t="shared" ref="M19" si="92">C19*E19*F19*K19/1000000*L19</f>
        <v>211.29875152721084</v>
      </c>
      <c r="N19" s="219">
        <f t="shared" ref="N19" si="93">-0.25063622/G19-0.00657231*G19+0.00005332*G19^2+0.29056757</f>
        <v>0.15802532673956798</v>
      </c>
      <c r="O19" s="592">
        <v>840100</v>
      </c>
      <c r="P19" s="343">
        <f t="shared" ref="P19" si="94">C19*E19*F19*N19/1000000*O19</f>
        <v>49.236061880939722</v>
      </c>
      <c r="Q19" s="219">
        <f t="shared" ref="Q19" si="95">0.093055673/G19-0.0002682273*G19+0.00000218*G19^2+0.0173678037</f>
        <v>1.6522308062949704E-2</v>
      </c>
      <c r="R19" s="592">
        <v>482200</v>
      </c>
      <c r="S19" s="343">
        <f t="shared" ref="S19" si="96">C19*E19*F19*Q19/1000000*R19</f>
        <v>2.9547690999286043</v>
      </c>
      <c r="T19" s="219">
        <f t="shared" ref="T19" si="97">0.630901162/G19-0.001006579*G19+0.000008915*G19^2+0.0072170055</f>
        <v>1.6861849317317577E-2</v>
      </c>
      <c r="U19" s="592">
        <v>160</v>
      </c>
      <c r="V19" s="343">
        <f t="shared" ref="V19" si="98">C19*E19*F19*T19*U19</f>
        <v>1000.5776869614051</v>
      </c>
      <c r="W19" s="598"/>
      <c r="X19" s="598"/>
      <c r="Y19" s="598"/>
      <c r="Z19" s="595"/>
    </row>
    <row r="20" spans="1:26" ht="15" customHeight="1">
      <c r="A20" s="584"/>
      <c r="B20" s="589"/>
      <c r="C20" s="587"/>
      <c r="D20" s="217" t="s">
        <v>66</v>
      </c>
      <c r="E20" s="344">
        <f>'ｼｰﾄNO.4（表-4）60頁'!K19</f>
        <v>2.85</v>
      </c>
      <c r="F20" s="591"/>
      <c r="G20" s="591"/>
      <c r="H20" s="218">
        <f>12.28697452/G19-0.05907844*G19+0.00051753*G19^2+2.69979197</f>
        <v>2.1701582938483104</v>
      </c>
      <c r="I20" s="593"/>
      <c r="J20" s="345">
        <f t="shared" ref="J20" si="99">C19*E20*F19*H20/1000000*I19</f>
        <v>0.42360730340516178</v>
      </c>
      <c r="K20" s="218">
        <f t="shared" ref="K20" si="100">908.52069/G19-23.49889*G19+0.18396*G19^2+1364.81344</f>
        <v>967.19747801654171</v>
      </c>
      <c r="L20" s="593"/>
      <c r="M20" s="345">
        <f t="shared" ref="M20" si="101">C19*E20*F19*K20/1000000*L19</f>
        <v>54.580218923854325</v>
      </c>
      <c r="N20" s="218">
        <f t="shared" ref="N20" si="102">9.45345681/G19-0.14325844*G19+0.00124097*G19^2+5.98054622</f>
        <v>3.7906746331889405</v>
      </c>
      <c r="O20" s="593"/>
      <c r="P20" s="345">
        <f t="shared" ref="P20" si="103">C19*E20*F19*N20/1000000*O19</f>
        <v>62.161218631340638</v>
      </c>
      <c r="Q20" s="218">
        <f t="shared" ref="Q20" si="104">0.6037810576/G19-0.0052863845*G19+0.000423961*G19^2+0.3189943526</f>
        <v>0.44330573968938591</v>
      </c>
      <c r="R20" s="593"/>
      <c r="S20" s="345">
        <f t="shared" ref="S20" si="105">C19*E20*F19*Q20/1000000*R19</f>
        <v>4.1725599635692037</v>
      </c>
      <c r="T20" s="218">
        <f t="shared" ref="T20" si="106">0.2877659/G19-0.008903887*G19+0.000069093*G19^2+0.516185391</f>
        <v>0.36271848960200154</v>
      </c>
      <c r="U20" s="593"/>
      <c r="V20" s="345">
        <f t="shared" ref="V20" si="107">C19*E20*F19*T20*U19</f>
        <v>1132.8220744895536</v>
      </c>
      <c r="W20" s="598"/>
      <c r="X20" s="598"/>
      <c r="Y20" s="598"/>
      <c r="Z20" s="595"/>
    </row>
    <row r="21" spans="1:26" ht="15" customHeight="1">
      <c r="A21" s="584"/>
      <c r="B21" s="588" t="s">
        <v>52</v>
      </c>
      <c r="C21" s="586">
        <f>'ｼｰﾄNO.3（表-3）59頁'!$F$30</f>
        <v>9</v>
      </c>
      <c r="D21" s="216" t="s">
        <v>65</v>
      </c>
      <c r="E21" s="342">
        <f>'ｼｰﾄNO.4（表-4）60頁'!K20</f>
        <v>158.65</v>
      </c>
      <c r="F21" s="590">
        <f>'ｼｰﾄNO.4（表-4）60頁'!C20/1000</f>
        <v>0.84799999999999998</v>
      </c>
      <c r="G21" s="590">
        <f>'ｼｰﾄNO.4（表-4）60頁'!C20/1000/('ｼｰﾄNO.4（表-4）60頁'!H20/3600)</f>
        <v>27.752727272727274</v>
      </c>
      <c r="H21" s="219">
        <f>-2.71095565/G21-0.09453616*G21+0.00089493*G21^2+3.15403637</f>
        <v>1.1220051084994243</v>
      </c>
      <c r="I21" s="592">
        <v>10000</v>
      </c>
      <c r="J21" s="343">
        <f t="shared" ref="J21" si="108">C21*E21*F21*H21/1000000*I21</f>
        <v>13.585426350569257</v>
      </c>
      <c r="K21" s="219">
        <f t="shared" ref="K21" si="109">1501.20185/G21-2.40935*G21+0.02115*G21^2+174.47635</f>
        <v>177.99238771086846</v>
      </c>
      <c r="L21" s="592">
        <v>2891</v>
      </c>
      <c r="M21" s="343">
        <f t="shared" ref="M21" si="110">C21*E21*F21*K21/1000000*L21</f>
        <v>623.0572570462441</v>
      </c>
      <c r="N21" s="219">
        <f t="shared" ref="N21" si="111">-0.25063622/G21-0.00657231*G21+0.00005332*G21^2+0.29056757</f>
        <v>0.14020479834032479</v>
      </c>
      <c r="O21" s="592">
        <v>840100</v>
      </c>
      <c r="P21" s="343">
        <f t="shared" ref="P21" si="112">C21*E21*F21*N21/1000000*O21</f>
        <v>142.6173294602321</v>
      </c>
      <c r="Q21" s="219">
        <f t="shared" ref="Q21" si="113">0.093055673/G21-0.0002682273*G21+0.00000218*G21^2+0.0173678037</f>
        <v>1.4955858884601478E-2</v>
      </c>
      <c r="R21" s="592">
        <v>482200</v>
      </c>
      <c r="S21" s="343">
        <f t="shared" ref="S21" si="114">C21*E21*F21*Q21/1000000*R21</f>
        <v>8.7320658654652625</v>
      </c>
      <c r="T21" s="219">
        <f t="shared" ref="T21" si="115">0.630901162/G21-0.001006579*G21+0.000008915*G21^2+0.0072170055</f>
        <v>8.8810925083286883E-3</v>
      </c>
      <c r="U21" s="592">
        <v>160</v>
      </c>
      <c r="V21" s="343">
        <f t="shared" ref="V21" si="116">C21*E21*F21*T21*U21</f>
        <v>1720.5401618301628</v>
      </c>
      <c r="W21" s="598"/>
      <c r="X21" s="598"/>
      <c r="Y21" s="598"/>
      <c r="Z21" s="595"/>
    </row>
    <row r="22" spans="1:26" ht="15" customHeight="1">
      <c r="A22" s="584"/>
      <c r="B22" s="589"/>
      <c r="C22" s="587"/>
      <c r="D22" s="217" t="s">
        <v>66</v>
      </c>
      <c r="E22" s="344">
        <f>'ｼｰﾄNO.4（表-4）60頁'!K21</f>
        <v>8.35</v>
      </c>
      <c r="F22" s="591"/>
      <c r="G22" s="591"/>
      <c r="H22" s="218">
        <f>12.28697452/G21-0.05907844*G21+0.00051753*G21^2+2.69979197</f>
        <v>1.9015432666737011</v>
      </c>
      <c r="I22" s="593"/>
      <c r="J22" s="345">
        <f t="shared" ref="J22" si="117">C21*E22*F21*H22/1000000*I21</f>
        <v>1.2118002806396826</v>
      </c>
      <c r="K22" s="218">
        <f t="shared" ref="K22" si="118">908.52069/G21-23.49889*G21+0.18396*G21^2+1364.81344</f>
        <v>887.07996534181075</v>
      </c>
      <c r="L22" s="593"/>
      <c r="M22" s="345">
        <f t="shared" ref="M22" si="119">C21*E22*F21*K22/1000000*L21</f>
        <v>163.43147476395285</v>
      </c>
      <c r="N22" s="218">
        <f t="shared" ref="N22" si="120">9.45345681/G21-0.14325844*G21+0.00124097*G21^2+5.98054622</f>
        <v>3.3011777457107159</v>
      </c>
      <c r="O22" s="593"/>
      <c r="P22" s="345">
        <f t="shared" ref="P22" si="121">C21*E22*F21*N22/1000000*O21</f>
        <v>176.73588160806659</v>
      </c>
      <c r="Q22" s="218">
        <f t="shared" ref="Q22" si="122">0.6037810576/G21-0.0052863845*G21+0.000423961*G21^2+0.3189943526</f>
        <v>0.52057914610079359</v>
      </c>
      <c r="R22" s="593"/>
      <c r="S22" s="345">
        <f t="shared" ref="S22" si="123">C21*E22*F21*Q22/1000000*R21</f>
        <v>15.997009765500021</v>
      </c>
      <c r="T22" s="218">
        <f t="shared" ref="T22" si="124">0.2877659/G21-0.008903887*G21+0.000069093*G21^2+0.516185391</f>
        <v>0.33266355369950334</v>
      </c>
      <c r="U22" s="593"/>
      <c r="V22" s="345">
        <f t="shared" ref="V22" si="125">C21*E22*F21*T22*U21</f>
        <v>3391.9546910910376</v>
      </c>
      <c r="W22" s="598"/>
      <c r="X22" s="598"/>
      <c r="Y22" s="598"/>
      <c r="Z22" s="595"/>
    </row>
    <row r="23" spans="1:26" ht="15" customHeight="1">
      <c r="A23" s="584"/>
      <c r="B23" s="588" t="s">
        <v>53</v>
      </c>
      <c r="C23" s="586">
        <f>'ｼｰﾄNO.3（表-3）59頁'!$F$30</f>
        <v>9</v>
      </c>
      <c r="D23" s="216" t="s">
        <v>65</v>
      </c>
      <c r="E23" s="342">
        <f>'ｼｰﾄNO.4（表-4）60頁'!K22</f>
        <v>738.15</v>
      </c>
      <c r="F23" s="590">
        <f>'ｼｰﾄNO.4（表-4）60頁'!C22/1000</f>
        <v>0.61699999999999999</v>
      </c>
      <c r="G23" s="590">
        <f>'ｼｰﾄNO.4（表-4）60頁'!C22/1000/('ｼｰﾄNO.4（表-4）60頁'!H22/3600)</f>
        <v>27.087804878048779</v>
      </c>
      <c r="H23" s="219">
        <f>-2.71095565/G23-0.09453616*G23+0.00089493*G23^2+3.15403637</f>
        <v>1.1498331610692509</v>
      </c>
      <c r="I23" s="592">
        <v>10000</v>
      </c>
      <c r="J23" s="343">
        <f t="shared" ref="J23" si="126">C23*E23*F23*H23/1000000*I23</f>
        <v>47.131051285736646</v>
      </c>
      <c r="K23" s="219">
        <f t="shared" ref="K23" si="127">1501.20185/G23-2.40935*G23+0.02115*G23^2+174.47635</f>
        <v>180.15098372041632</v>
      </c>
      <c r="L23" s="592">
        <v>2891</v>
      </c>
      <c r="M23" s="343">
        <f t="shared" ref="M23" si="128">C23*E23*F23*K23/1000000*L23</f>
        <v>2134.7991793275273</v>
      </c>
      <c r="N23" s="219">
        <f t="shared" ref="N23" si="129">-0.25063622/G23-0.00657231*G23+0.00005332*G23^2+0.29056757</f>
        <v>0.14240889225716619</v>
      </c>
      <c r="O23" s="592">
        <v>840100</v>
      </c>
      <c r="P23" s="343">
        <f t="shared" ref="P23" si="130">C23*E23*F23*N23/1000000*O23</f>
        <v>490.3886280885846</v>
      </c>
      <c r="Q23" s="219">
        <f t="shared" ref="Q23" si="131">0.093055673/G23-0.0002682273*G23+0.00000218*G23^2+0.0173678037</f>
        <v>1.5137022719626959E-2</v>
      </c>
      <c r="R23" s="592">
        <v>482200</v>
      </c>
      <c r="S23" s="343">
        <f t="shared" ref="S23" si="132">C23*E23*F23*Q23/1000000*R23</f>
        <v>29.918510369013028</v>
      </c>
      <c r="T23" s="219">
        <f t="shared" ref="T23" si="133">0.630901162/G23-0.001006579*G23+0.000008915*G23^2+0.0072170055</f>
        <v>9.7833305544376171E-3</v>
      </c>
      <c r="U23" s="592">
        <v>160</v>
      </c>
      <c r="V23" s="343">
        <f t="shared" ref="V23" si="134">C23*E23*F23*T23*U23</f>
        <v>6416.2164699126197</v>
      </c>
      <c r="W23" s="598"/>
      <c r="X23" s="598"/>
      <c r="Y23" s="598"/>
      <c r="Z23" s="595"/>
    </row>
    <row r="24" spans="1:26" ht="15" customHeight="1">
      <c r="A24" s="584"/>
      <c r="B24" s="589"/>
      <c r="C24" s="587"/>
      <c r="D24" s="217" t="s">
        <v>66</v>
      </c>
      <c r="E24" s="344">
        <f>'ｼｰﾄNO.4（表-4）60頁'!K23</f>
        <v>38.85</v>
      </c>
      <c r="F24" s="591"/>
      <c r="G24" s="591"/>
      <c r="H24" s="218">
        <f>12.28697452/G23-0.05907844*G23+0.00051753*G23^2+2.69979197</f>
        <v>1.9328219392155921</v>
      </c>
      <c r="I24" s="593"/>
      <c r="J24" s="345">
        <f t="shared" ref="J24" si="135">C23*E24*F23*H24/1000000*I23</f>
        <v>4.1697550487583355</v>
      </c>
      <c r="K24" s="218">
        <f t="shared" ref="K24" si="136">908.52069/G23-23.49889*G23+0.18396*G23^2+1364.81344</f>
        <v>896.80043250303515</v>
      </c>
      <c r="L24" s="593"/>
      <c r="M24" s="345">
        <f t="shared" ref="M24" si="137">C23*E24*F23*K24/1000000*L23</f>
        <v>559.3228955982205</v>
      </c>
      <c r="N24" s="218">
        <f t="shared" ref="N24" si="138">9.45345681/G23-0.14325844*G23+0.00124097*G23^2+5.98054622</f>
        <v>3.3595433546140332</v>
      </c>
      <c r="O24" s="593"/>
      <c r="P24" s="345">
        <f t="shared" ref="P24" si="139">C23*E24*F23*N24/1000000*O23</f>
        <v>608.87750778424038</v>
      </c>
      <c r="Q24" s="218">
        <f t="shared" ref="Q24" si="140">0.6037810576/G23-0.0052863845*G23+0.000423961*G23^2+0.3189943526</f>
        <v>0.50916860825670229</v>
      </c>
      <c r="R24" s="593"/>
      <c r="S24" s="345">
        <f t="shared" ref="S24" si="141">C23*E24*F23*Q24/1000000*R23</f>
        <v>52.967261889381859</v>
      </c>
      <c r="T24" s="218">
        <f t="shared" ref="T24" si="142">0.2877659/G23-0.008903887*G23+0.000069093*G23^2+0.516185391</f>
        <v>0.33631901740188841</v>
      </c>
      <c r="U24" s="593"/>
      <c r="V24" s="345">
        <f t="shared" ref="V24" si="143">C23*E24*F23*T24*U23</f>
        <v>11608.874194580781</v>
      </c>
      <c r="W24" s="598"/>
      <c r="X24" s="598"/>
      <c r="Y24" s="598"/>
      <c r="Z24" s="595"/>
    </row>
    <row r="25" spans="1:26" ht="15" customHeight="1">
      <c r="A25" s="584"/>
      <c r="B25" s="588" t="s">
        <v>54</v>
      </c>
      <c r="C25" s="586">
        <f>'ｼｰﾄNO.3（表-3）59頁'!$F$30</f>
        <v>9</v>
      </c>
      <c r="D25" s="216" t="s">
        <v>65</v>
      </c>
      <c r="E25" s="342">
        <f>'ｼｰﾄNO.4（表-4）60頁'!K24</f>
        <v>133</v>
      </c>
      <c r="F25" s="590">
        <f>'ｼｰﾄNO.4（表-4）60頁'!C24/1000</f>
        <v>0.82399999999999995</v>
      </c>
      <c r="G25" s="590">
        <f>'ｼｰﾄNO.4（表-4）60頁'!C24/1000/('ｼｰﾄNO.4（表-4）60頁'!H24/3600)</f>
        <v>28.523076923076921</v>
      </c>
      <c r="H25" s="219">
        <f>-2.71095565/G25-0.09453616*G25+0.00089493*G25^2+3.15403637</f>
        <v>1.090614460615126</v>
      </c>
      <c r="I25" s="592">
        <v>10000</v>
      </c>
      <c r="J25" s="343">
        <f t="shared" ref="J25" si="144">C25*E25*F25*H25/1000000*I25</f>
        <v>10.757035797095959</v>
      </c>
      <c r="K25" s="219">
        <f t="shared" ref="K25" si="145">1501.20185/G25-2.40935*G25+0.02115*G25^2+174.47635</f>
        <v>175.59232658424133</v>
      </c>
      <c r="L25" s="592">
        <v>2891</v>
      </c>
      <c r="M25" s="343">
        <f t="shared" ref="M25" si="146">C25*E25*F25*K25/1000000*L25</f>
        <v>500.69699740136997</v>
      </c>
      <c r="N25" s="219">
        <f t="shared" ref="N25" si="147">-0.25063622/G25-0.00657231*G25+0.00005332*G25^2+0.29056757</f>
        <v>0.1376972627690112</v>
      </c>
      <c r="O25" s="592">
        <v>840100</v>
      </c>
      <c r="P25" s="343">
        <f t="shared" ref="P25" si="148">C25*E25*F25*N25/1000000*O25</f>
        <v>114.0979007322232</v>
      </c>
      <c r="Q25" s="219">
        <f t="shared" ref="Q25" si="149">0.093055673/G25-0.0002682273*G25+0.00000218*G25^2+0.0173678037</f>
        <v>1.4753179146136358E-2</v>
      </c>
      <c r="R25" s="592">
        <v>482200</v>
      </c>
      <c r="S25" s="343">
        <f t="shared" ref="S25" si="150">C25*E25*F25*Q25/1000000*R25</f>
        <v>7.0167206089060548</v>
      </c>
      <c r="T25" s="219">
        <f t="shared" ref="T25" si="151">0.630901162/G25-0.001006579*G25+0.000008915*G25^2+0.0072170055</f>
        <v>7.8781881831032213E-3</v>
      </c>
      <c r="U25" s="592">
        <v>160</v>
      </c>
      <c r="V25" s="343">
        <f t="shared" ref="V25" si="152">C25*E25*F25*T25*U25</f>
        <v>1243.2764150822136</v>
      </c>
      <c r="W25" s="598"/>
      <c r="X25" s="598"/>
      <c r="Y25" s="598"/>
      <c r="Z25" s="595"/>
    </row>
    <row r="26" spans="1:26" ht="15" customHeight="1">
      <c r="A26" s="584"/>
      <c r="B26" s="589"/>
      <c r="C26" s="587"/>
      <c r="D26" s="217" t="s">
        <v>66</v>
      </c>
      <c r="E26" s="344">
        <f>'ｼｰﾄNO.4（表-4）60頁'!K25</f>
        <v>7</v>
      </c>
      <c r="F26" s="591"/>
      <c r="G26" s="591"/>
      <c r="H26" s="218">
        <f>12.28697452/G25-0.05907844*G25+0.00051753*G25^2+2.69979197</f>
        <v>1.8665109593380467</v>
      </c>
      <c r="I26" s="593"/>
      <c r="J26" s="345">
        <f t="shared" ref="J26" si="153">C25*E26*F25*H26/1000000*I25</f>
        <v>0.96894316921156676</v>
      </c>
      <c r="K26" s="218">
        <f t="shared" ref="K26" si="154">908.52069/G25-23.49889*G25+0.18396*G25^2+1364.81344</f>
        <v>876.06850679459603</v>
      </c>
      <c r="L26" s="593"/>
      <c r="M26" s="345">
        <f t="shared" ref="M26" si="155">C25*E26*F25*K26/1000000*L25</f>
        <v>131.47825192676862</v>
      </c>
      <c r="N26" s="218">
        <f t="shared" ref="N26" si="156">9.45345681/G25-0.14325844*G25+0.00124097*G25^2+5.98054622</f>
        <v>3.2354174852760047</v>
      </c>
      <c r="O26" s="593"/>
      <c r="P26" s="345">
        <f t="shared" ref="P26" si="157">C25*E26*F25*N26/1000000*O25</f>
        <v>141.10066939559385</v>
      </c>
      <c r="Q26" s="218">
        <f t="shared" ref="Q26" si="158">0.6037810576/G25-0.0052863845*G25+0.000423961*G25^2+0.3189943526</f>
        <v>0.53429878072260373</v>
      </c>
      <c r="R26" s="593"/>
      <c r="S26" s="345">
        <f t="shared" ref="S26" si="159">C25*E26*F25*Q26/1000000*R25</f>
        <v>13.374549126609184</v>
      </c>
      <c r="T26" s="218">
        <f t="shared" ref="T26" si="160">0.2877659/G25-0.008903887*G25+0.000069093*G25^2+0.516185391</f>
        <v>0.32851972708814747</v>
      </c>
      <c r="U26" s="593"/>
      <c r="V26" s="345">
        <f t="shared" ref="V26" si="161">C25*E26*F25*T26*U25</f>
        <v>2728.6585716159857</v>
      </c>
      <c r="W26" s="598"/>
      <c r="X26" s="598"/>
      <c r="Y26" s="598"/>
      <c r="Z26" s="595"/>
    </row>
    <row r="27" spans="1:26" ht="15" customHeight="1">
      <c r="A27" s="584"/>
      <c r="B27" s="588" t="s">
        <v>55</v>
      </c>
      <c r="C27" s="586">
        <f>'ｼｰﾄNO.3（表-3）59頁'!$F$30</f>
        <v>9</v>
      </c>
      <c r="D27" s="216" t="s">
        <v>65</v>
      </c>
      <c r="E27" s="342">
        <f>'ｼｰﾄNO.4（表-4）60頁'!K26</f>
        <v>47.5</v>
      </c>
      <c r="F27" s="590">
        <f>'ｼｰﾄNO.4（表-4）60頁'!C26/1000</f>
        <v>0.91</v>
      </c>
      <c r="G27" s="590">
        <f>'ｼｰﾄNO.4（表-4）60頁'!C26/1000/('ｼｰﾄNO.4（表-4）60頁'!H26/3600)</f>
        <v>22.90909090909091</v>
      </c>
      <c r="H27" s="219">
        <f>-2.71095565/G27-0.09453616*G27+0.00089493*G27^2+3.15403637</f>
        <v>1.3396464522592815</v>
      </c>
      <c r="I27" s="592">
        <v>10000</v>
      </c>
      <c r="J27" s="343">
        <f t="shared" ref="J27" si="162">C27*E27*F27*H27/1000000*I27</f>
        <v>5.21155961090167</v>
      </c>
      <c r="K27" s="219">
        <f t="shared" ref="K27" si="163">1501.20185/G27-2.40935*G27+0.02115*G27^2+174.47635</f>
        <v>195.90906333956445</v>
      </c>
      <c r="L27" s="592">
        <v>2891</v>
      </c>
      <c r="M27" s="343">
        <f t="shared" ref="M27" si="164">C27*E27*F27*K27/1000000*L27</f>
        <v>220.33329605016377</v>
      </c>
      <c r="N27" s="219">
        <f t="shared" ref="N27" si="165">-0.25063622/G27-0.00657231*G27+0.00005332*G27^2+0.29056757</f>
        <v>0.15704519892234028</v>
      </c>
      <c r="O27" s="592">
        <v>840100</v>
      </c>
      <c r="P27" s="343">
        <f t="shared" ref="P27" si="166">C27*E27*F27*N27/1000000*O27</f>
        <v>51.325496599892354</v>
      </c>
      <c r="Q27" s="219">
        <f t="shared" ref="Q27" si="167">0.093055673/G27-0.0002682273*G27+0.00000218*G27^2+0.0173678037</f>
        <v>1.6429035733051291E-2</v>
      </c>
      <c r="R27" s="592">
        <v>482200</v>
      </c>
      <c r="S27" s="343">
        <f t="shared" ref="S27" si="168">C27*E27*F27*Q27/1000000*R27</f>
        <v>3.0818875728814445</v>
      </c>
      <c r="T27" s="219">
        <f t="shared" ref="T27" si="169">0.630901162/G27-0.001006579*G27+0.000008915*G27^2+0.0072170055</f>
        <v>1.6375359886921154E-2</v>
      </c>
      <c r="U27" s="592">
        <v>160</v>
      </c>
      <c r="V27" s="343">
        <f t="shared" ref="V27" si="170">C27*E27*F27*T27*U27</f>
        <v>1019.2679008015203</v>
      </c>
      <c r="W27" s="598"/>
      <c r="X27" s="598"/>
      <c r="Y27" s="598"/>
      <c r="Z27" s="595"/>
    </row>
    <row r="28" spans="1:26" ht="15" customHeight="1">
      <c r="A28" s="584"/>
      <c r="B28" s="589"/>
      <c r="C28" s="587"/>
      <c r="D28" s="217" t="s">
        <v>66</v>
      </c>
      <c r="E28" s="344">
        <f>'ｼｰﾄNO.4（表-4）60頁'!K27</f>
        <v>2.5</v>
      </c>
      <c r="F28" s="591"/>
      <c r="G28" s="591"/>
      <c r="H28" s="218">
        <f>12.28697452/G27-0.05907844*G27+0.00051753*G27^2+2.69979197</f>
        <v>2.154308237381608</v>
      </c>
      <c r="I28" s="593"/>
      <c r="J28" s="345">
        <f t="shared" ref="J28" si="171">C27*E28*F27*H28/1000000*I27</f>
        <v>0.4410946116038843</v>
      </c>
      <c r="K28" s="218">
        <f t="shared" ref="K28" si="172">908.52069/G27-23.49889*G27+0.18396*G27^2+1364.81344</f>
        <v>962.67995495179059</v>
      </c>
      <c r="L28" s="593"/>
      <c r="M28" s="345">
        <f t="shared" ref="M28" si="173">C27*E28*F27*K28/1000000*L27</f>
        <v>56.9841311764512</v>
      </c>
      <c r="N28" s="218">
        <f t="shared" ref="N28" si="174">9.45345681/G27-0.14325844*G27+0.00124097*G27^2+5.98054622</f>
        <v>3.7625703620867768</v>
      </c>
      <c r="O28" s="593"/>
      <c r="P28" s="345">
        <f t="shared" ref="P28" si="175">C27*E28*F27*N28/1000000*O27</f>
        <v>64.720151520346846</v>
      </c>
      <c r="Q28" s="218">
        <f t="shared" ref="Q28" si="176">0.6037810576/G27-0.0052863845*G27+0.000423961*G27^2+0.3189943526</f>
        <v>0.44674955685638201</v>
      </c>
      <c r="R28" s="593"/>
      <c r="S28" s="345">
        <f t="shared" ref="S28" si="177">C27*E28*F27*Q28/1000000*R27</f>
        <v>4.4107784785731186</v>
      </c>
      <c r="T28" s="218">
        <f t="shared" ref="T28" si="178">0.2877659/G27-0.008903887*G27+0.000069093*G27^2+0.516185391</f>
        <v>0.3610284778462548</v>
      </c>
      <c r="U28" s="593"/>
      <c r="V28" s="345">
        <f t="shared" ref="V28" si="179">C27*E28*F27*T28*U27</f>
        <v>1182.729293424331</v>
      </c>
      <c r="W28" s="598"/>
      <c r="X28" s="598"/>
      <c r="Y28" s="598"/>
      <c r="Z28" s="595"/>
    </row>
    <row r="29" spans="1:26" ht="15" customHeight="1">
      <c r="A29" s="584"/>
      <c r="B29" s="588" t="s">
        <v>56</v>
      </c>
      <c r="C29" s="586">
        <f>'ｼｰﾄNO.3（表-3）59頁'!$F$30</f>
        <v>9</v>
      </c>
      <c r="D29" s="216" t="s">
        <v>65</v>
      </c>
      <c r="E29" s="342">
        <f>'ｼｰﾄNO.4（表-4）60頁'!K28</f>
        <v>743.84999999999991</v>
      </c>
      <c r="F29" s="590">
        <f>'ｼｰﾄNO.4（表-4）60頁'!C28/1000</f>
        <v>0.61699999999999999</v>
      </c>
      <c r="G29" s="590">
        <f>'ｼｰﾄNO.4（表-4）60頁'!C28/1000/('ｼｰﾄNO.4（表-4）60頁'!H28/3600)</f>
        <v>27.087804878048779</v>
      </c>
      <c r="H29" s="219">
        <f>-2.71095565/G29-0.09453616*G29+0.00089493*G29^2+3.15403637</f>
        <v>1.1498331610692509</v>
      </c>
      <c r="I29" s="592">
        <v>10000</v>
      </c>
      <c r="J29" s="343">
        <f t="shared" ref="J29" si="180">C29*E29*F29*H29/1000000*I29</f>
        <v>47.494997627711449</v>
      </c>
      <c r="K29" s="219">
        <f t="shared" ref="K29" si="181">1501.20185/G29-2.40935*G29+0.02115*G29^2+174.47635</f>
        <v>180.15098372041632</v>
      </c>
      <c r="L29" s="592">
        <v>2891</v>
      </c>
      <c r="M29" s="343">
        <f t="shared" ref="M29" si="182">C29*E29*F29*K29/1000000*L29</f>
        <v>2151.2841150752306</v>
      </c>
      <c r="N29" s="219">
        <f t="shared" ref="N29" si="183">-0.25063622/G29-0.00657231*G29+0.00005332*G29^2+0.29056757</f>
        <v>0.14240889225716619</v>
      </c>
      <c r="O29" s="592">
        <v>840100</v>
      </c>
      <c r="P29" s="343">
        <f t="shared" ref="P29" si="184">C29*E29*F29*N29/1000000*O29</f>
        <v>494.17541286146945</v>
      </c>
      <c r="Q29" s="219">
        <f t="shared" ref="Q29" si="185">0.093055673/G29-0.0002682273*G29+0.00000218*G29^2+0.0173678037</f>
        <v>1.5137022719626959E-2</v>
      </c>
      <c r="R29" s="592">
        <v>482200</v>
      </c>
      <c r="S29" s="343">
        <f t="shared" ref="S29" si="186">C29*E29*F29*Q29/1000000*R29</f>
        <v>30.149541337113515</v>
      </c>
      <c r="T29" s="219">
        <f t="shared" ref="T29" si="187">0.630901162/G29-0.001006579*G29+0.000008915*G29^2+0.0072170055</f>
        <v>9.7833305544376171E-3</v>
      </c>
      <c r="U29" s="592">
        <v>160</v>
      </c>
      <c r="V29" s="343">
        <f t="shared" ref="V29" si="188">C29*E29*F29*T29*U29</f>
        <v>6465.7625430393591</v>
      </c>
      <c r="W29" s="598"/>
      <c r="X29" s="598"/>
      <c r="Y29" s="598"/>
      <c r="Z29" s="595"/>
    </row>
    <row r="30" spans="1:26" ht="15" customHeight="1">
      <c r="A30" s="585"/>
      <c r="B30" s="589"/>
      <c r="C30" s="587"/>
      <c r="D30" s="217" t="s">
        <v>66</v>
      </c>
      <c r="E30" s="344">
        <f>'ｼｰﾄNO.4（表-4）60頁'!K29</f>
        <v>39.150000000000006</v>
      </c>
      <c r="F30" s="591"/>
      <c r="G30" s="591"/>
      <c r="H30" s="218">
        <f>12.28697452/G29-0.05907844*G29+0.00051753*G29^2+2.69979197</f>
        <v>1.9328219392155921</v>
      </c>
      <c r="I30" s="593"/>
      <c r="J30" s="345">
        <f t="shared" ref="J30" si="189">C29*E30*F29*H30/1000000*I29</f>
        <v>4.2019539294437278</v>
      </c>
      <c r="K30" s="218">
        <f t="shared" ref="K30" si="190">908.52069/G29-23.49889*G29+0.18396*G29^2+1364.81344</f>
        <v>896.80043250303515</v>
      </c>
      <c r="L30" s="593"/>
      <c r="M30" s="345">
        <f t="shared" ref="M30" si="191">C29*E30*F29*K30/1000000*L29</f>
        <v>563.64199131712564</v>
      </c>
      <c r="N30" s="218">
        <f t="shared" ref="N30" si="192">9.45345681/G29-0.14325844*G29+0.00124097*G29^2+5.98054622</f>
        <v>3.3595433546140332</v>
      </c>
      <c r="O30" s="593"/>
      <c r="P30" s="345">
        <f t="shared" ref="P30" si="193">C29*E30*F29*N30/1000000*O29</f>
        <v>613.57926460110696</v>
      </c>
      <c r="Q30" s="218">
        <f t="shared" ref="Q30" si="194">0.6037810576/G29-0.0052863845*G29+0.000423961*G29^2+0.3189943526</f>
        <v>0.50916860825670229</v>
      </c>
      <c r="R30" s="593"/>
      <c r="S30" s="345">
        <f t="shared" ref="S30" si="195">C29*E30*F29*Q30/1000000*R29</f>
        <v>53.376275494705276</v>
      </c>
      <c r="T30" s="218">
        <f t="shared" ref="T30" si="196">0.2877659/G29-0.008903887*G29+0.000069093*G29^2+0.516185391</f>
        <v>0.33631901740188841</v>
      </c>
      <c r="U30" s="593"/>
      <c r="V30" s="345">
        <f t="shared" ref="V30" si="197">C29*E30*F29*T30*U29</f>
        <v>11698.51801075515</v>
      </c>
      <c r="W30" s="599"/>
      <c r="X30" s="599"/>
      <c r="Y30" s="599"/>
      <c r="Z30" s="595"/>
    </row>
    <row r="31" spans="1:26" ht="15" customHeight="1">
      <c r="A31" s="603" t="s">
        <v>913</v>
      </c>
      <c r="B31" s="588" t="s">
        <v>45</v>
      </c>
      <c r="C31" s="586">
        <f>'ｼｰﾄNO.3（表-3）59頁'!$F$30</f>
        <v>9</v>
      </c>
      <c r="D31" s="216" t="s">
        <v>65</v>
      </c>
      <c r="E31" s="342">
        <f>'ｼｰﾄNO.4（表-4）60頁'!K33</f>
        <v>772.34999999999991</v>
      </c>
      <c r="F31" s="590">
        <f>'ｼｰﾄNO.4（表-4）60頁'!C33/1000</f>
        <v>1.054</v>
      </c>
      <c r="G31" s="590">
        <f>'ｼｰﾄNO.4（表-4）60頁'!C33/1000/('ｼｰﾄNO.4（表-4）60頁'!H33/3600)</f>
        <v>29.643750000000001</v>
      </c>
      <c r="H31" s="219">
        <f>-2.71095565/G31-0.09453616*G31+0.00089493*G31^2+3.15403637</f>
        <v>1.0466003564631281</v>
      </c>
      <c r="I31" s="592">
        <v>10000</v>
      </c>
      <c r="J31" s="343">
        <f>C31*E31*F31*H31/1000000*I31</f>
        <v>76.679301754914221</v>
      </c>
      <c r="K31" s="219">
        <f>1501.20185/G31-2.40935*G31+0.02115*G31^2+174.47635</f>
        <v>172.28121255158959</v>
      </c>
      <c r="L31" s="592">
        <v>2891</v>
      </c>
      <c r="M31" s="343">
        <f>C31*E31*F31*K31/1000000*L31</f>
        <v>3649.0791427542326</v>
      </c>
      <c r="N31" s="219">
        <f t="shared" ref="N31" si="198">-0.25063622/G31-0.00657231*G31+0.00005332*G31^2+0.29056757</f>
        <v>0.13413976437914132</v>
      </c>
      <c r="O31" s="592">
        <v>840100</v>
      </c>
      <c r="P31" s="343">
        <f>C31*E31*F31*N31/1000000*O31</f>
        <v>825.63062738522092</v>
      </c>
      <c r="Q31" s="219">
        <f t="shared" ref="Q31" si="199">0.093055673/G31-0.0002682273*G31+0.00000218*G31^2+0.0173678037</f>
        <v>1.4471352818974903E-2</v>
      </c>
      <c r="R31" s="592">
        <v>482200</v>
      </c>
      <c r="S31" s="343">
        <f>C31*E31*F31*Q31/1000000*R31</f>
        <v>51.12503392653209</v>
      </c>
      <c r="T31" s="219">
        <f>0.630901162/G31-0.001006579*G31+0.000008915*G31^2+0.0072170055</f>
        <v>6.4950742292543343E-3</v>
      </c>
      <c r="U31" s="592">
        <v>160</v>
      </c>
      <c r="V31" s="343">
        <f>C31*E31*F31*T31*U31</f>
        <v>7613.7983889648076</v>
      </c>
      <c r="W31" s="597">
        <f>SUM(J31:J54)+SUM(M31:M54)+SUM(P31:P54)+SUM(S31:S54)+SUM(V31:V54)</f>
        <v>140897.94643641738</v>
      </c>
      <c r="X31" s="597">
        <f>'ｼｰﾄNO.3（表-3）59頁'!F33</f>
        <v>18</v>
      </c>
      <c r="Y31" s="597">
        <f>W31*X31</f>
        <v>2536163.0358555126</v>
      </c>
      <c r="Z31" s="595"/>
    </row>
    <row r="32" spans="1:26" ht="15" customHeight="1">
      <c r="A32" s="604"/>
      <c r="B32" s="589"/>
      <c r="C32" s="587"/>
      <c r="D32" s="217" t="s">
        <v>66</v>
      </c>
      <c r="E32" s="344">
        <f>'ｼｰﾄNO.4（表-4）60頁'!K34</f>
        <v>40.650000000000006</v>
      </c>
      <c r="F32" s="591"/>
      <c r="G32" s="591"/>
      <c r="H32" s="218">
        <f>12.28697452/G31-0.05907844*G31+0.00051753*G31^2+2.69979197</f>
        <v>1.8177538030136606</v>
      </c>
      <c r="I32" s="593"/>
      <c r="J32" s="345">
        <f>C31*E32*F31*H32/1000000*I31</f>
        <v>7.0093659118950544</v>
      </c>
      <c r="K32" s="218">
        <f>908.52069/G31-23.49889*G31+0.18396*G31^2+1364.81344</f>
        <v>860.52138928887075</v>
      </c>
      <c r="L32" s="593"/>
      <c r="M32" s="345">
        <f>C31*E32*F31*K32/1000000*L31</f>
        <v>959.29776275628376</v>
      </c>
      <c r="N32" s="218">
        <f t="shared" ref="N32" si="200">9.45345681/G31-0.14325844*G31+0.00124097*G31^2+5.98054622</f>
        <v>3.1432357925564749</v>
      </c>
      <c r="O32" s="593"/>
      <c r="P32" s="345">
        <f>C31*E32*F31*N32/1000000*O31</f>
        <v>1018.2434290554703</v>
      </c>
      <c r="Q32" s="218">
        <f t="shared" ref="Q32" si="201">0.6037810576/G31-0.0052863845*G31+0.000423961*G31^2+0.3189943526</f>
        <v>0.55521053643067186</v>
      </c>
      <c r="R32" s="593"/>
      <c r="S32" s="345">
        <f>C31*E32*F31*Q32/1000000*R31</f>
        <v>103.235383532017</v>
      </c>
      <c r="T32" s="218">
        <f>0.2877659/G31-0.008903887*G31+0.000069093*G31^2+0.516185391</f>
        <v>0.32266386964951294</v>
      </c>
      <c r="U32" s="593"/>
      <c r="V32" s="345">
        <f>C31*E32*F31*T32*U31</f>
        <v>19907.374696589301</v>
      </c>
      <c r="W32" s="598"/>
      <c r="X32" s="598"/>
      <c r="Y32" s="598"/>
      <c r="Z32" s="595"/>
    </row>
    <row r="33" spans="1:26" ht="15" customHeight="1">
      <c r="A33" s="604"/>
      <c r="B33" s="588" t="s">
        <v>46</v>
      </c>
      <c r="C33" s="586">
        <f>'ｼｰﾄNO.3（表-3）59頁'!$F$30</f>
        <v>9</v>
      </c>
      <c r="D33" s="216" t="s">
        <v>65</v>
      </c>
      <c r="E33" s="342">
        <f>'ｼｰﾄNO.4（表-4）60頁'!K35</f>
        <v>148.19999999999999</v>
      </c>
      <c r="F33" s="590">
        <f>'ｼｰﾄNO.4（表-4）60頁'!C35/1000</f>
        <v>0.76100000000000001</v>
      </c>
      <c r="G33" s="590">
        <f>'ｼｰﾄNO.4（表-4）60頁'!C35/1000/('ｼｰﾄNO.4（表-4）60頁'!H35/3600)</f>
        <v>27.955102040816328</v>
      </c>
      <c r="H33" s="219">
        <f t="shared" ref="H33" si="202">-2.71095565/G33-0.09453616*G33+0.00089493*G33^2+3.15403637</f>
        <v>1.1136698404962537</v>
      </c>
      <c r="I33" s="592">
        <v>10000</v>
      </c>
      <c r="J33" s="343">
        <f t="shared" ref="J33" si="203">C33*E33*F33*H33/1000000*I33</f>
        <v>11.303991661062202</v>
      </c>
      <c r="K33" s="219">
        <f t="shared" ref="K33" si="204">1501.20185/G33-2.40935*G33+0.02115*G33^2+174.47635</f>
        <v>177.35165078551574</v>
      </c>
      <c r="L33" s="592">
        <v>2891</v>
      </c>
      <c r="M33" s="343">
        <f t="shared" ref="M33" si="205">C33*E33*F33*K33/1000000*L33</f>
        <v>520.42565413220871</v>
      </c>
      <c r="N33" s="219">
        <f t="shared" ref="N33" si="206">-0.25063622/G33-0.00657231*G33+0.00005332*G33^2+0.29056757</f>
        <v>0.13954122906549798</v>
      </c>
      <c r="O33" s="592">
        <v>840100</v>
      </c>
      <c r="P33" s="343">
        <f t="shared" ref="P33" si="207">C33*E33*F33*N33/1000000*O33</f>
        <v>118.98957091918027</v>
      </c>
      <c r="Q33" s="219">
        <f t="shared" ref="Q33" si="208">0.093055673/G33-0.0002682273*G33+0.00000218*G33^2+0.0173678037</f>
        <v>1.4901879955931608E-2</v>
      </c>
      <c r="R33" s="592">
        <v>482200</v>
      </c>
      <c r="S33" s="343">
        <f t="shared" ref="S33" si="209">C33*E33*F33*Q33/1000000*R33</f>
        <v>7.2936284604374961</v>
      </c>
      <c r="T33" s="219">
        <f t="shared" ref="T33" si="210">0.630901162/G33-0.001006579*G33+0.000008915*G33^2+0.0072170055</f>
        <v>8.6133226666943175E-3</v>
      </c>
      <c r="U33" s="592">
        <v>160</v>
      </c>
      <c r="V33" s="343">
        <f t="shared" ref="V33" si="211">C33*E33*F33*T33*U33</f>
        <v>1398.8336443406185</v>
      </c>
      <c r="W33" s="598"/>
      <c r="X33" s="598"/>
      <c r="Y33" s="598"/>
      <c r="Z33" s="595"/>
    </row>
    <row r="34" spans="1:26" ht="15" customHeight="1">
      <c r="A34" s="604"/>
      <c r="B34" s="589"/>
      <c r="C34" s="587"/>
      <c r="D34" s="217" t="s">
        <v>66</v>
      </c>
      <c r="E34" s="344">
        <f>'ｼｰﾄNO.4（表-4）60頁'!K36</f>
        <v>7.8000000000000007</v>
      </c>
      <c r="F34" s="591"/>
      <c r="G34" s="591"/>
      <c r="H34" s="218">
        <f t="shared" ref="H34" si="212">12.28697452/G33-0.05907844*G33+0.00051753*G33^2+2.69979197</f>
        <v>1.8922167930969032</v>
      </c>
      <c r="I34" s="593"/>
      <c r="J34" s="345">
        <f t="shared" ref="J34" si="213">C33*E34*F33*H34/1000000*I33</f>
        <v>1.0108638396418139</v>
      </c>
      <c r="K34" s="218">
        <f t="shared" ref="K34" si="214">908.52069/G33-23.49889*G33+0.18396*G33^2+1364.81344</f>
        <v>884.1613350837506</v>
      </c>
      <c r="L34" s="593"/>
      <c r="M34" s="345">
        <f t="shared" ref="M34" si="215">C33*E34*F33*K34/1000000*L33</f>
        <v>136.55304206474631</v>
      </c>
      <c r="N34" s="218">
        <f t="shared" ref="N34" si="216">9.45345681/G33-0.14325844*G33+0.00124097*G33^2+5.98054622</f>
        <v>3.2837104457456512</v>
      </c>
      <c r="O34" s="593"/>
      <c r="P34" s="345">
        <f t="shared" ref="P34" si="217">C33*E34*F33*N34/1000000*O33</f>
        <v>147.37289269037666</v>
      </c>
      <c r="Q34" s="218">
        <f t="shared" ref="Q34" si="218">0.6037810576/G33-0.0052863845*G33+0.000423961*G33^2+0.3189943526</f>
        <v>0.52413149597119757</v>
      </c>
      <c r="R34" s="593"/>
      <c r="S34" s="345">
        <f t="shared" ref="S34" si="219">C33*E34*F33*Q34/1000000*R33</f>
        <v>13.501724216683765</v>
      </c>
      <c r="T34" s="218">
        <f t="shared" ref="T34" si="220">0.2877659/G33-0.008903887*G33+0.000069093*G33^2+0.516185391</f>
        <v>0.33156551285231084</v>
      </c>
      <c r="U34" s="593"/>
      <c r="V34" s="345">
        <f t="shared" ref="V34" si="221">C33*E34*F33*T34*U33</f>
        <v>2834.0734625117957</v>
      </c>
      <c r="W34" s="598"/>
      <c r="X34" s="598"/>
      <c r="Y34" s="598"/>
      <c r="Z34" s="595"/>
    </row>
    <row r="35" spans="1:26" ht="15" customHeight="1">
      <c r="A35" s="604"/>
      <c r="B35" s="588" t="s">
        <v>47</v>
      </c>
      <c r="C35" s="586">
        <f>'ｼｰﾄNO.3（表-3）59頁'!$F$30</f>
        <v>9</v>
      </c>
      <c r="D35" s="216" t="s">
        <v>65</v>
      </c>
      <c r="E35" s="342">
        <f>'ｼｰﾄNO.4（表-4）60頁'!K37</f>
        <v>41.8</v>
      </c>
      <c r="F35" s="590">
        <f>'ｼｰﾄNO.4（表-4）60頁'!C37/1000</f>
        <v>0.82399999999999995</v>
      </c>
      <c r="G35" s="590">
        <f>'ｼｰﾄNO.4（表-4）60頁'!C37/1000/('ｼｰﾄNO.4（表-4）60頁'!H37/3600)</f>
        <v>24.927731092436975</v>
      </c>
      <c r="H35" s="219">
        <f t="shared" ref="H35" si="222">-2.71095565/G35-0.09453616*G35+0.00089493*G35^2+3.15403637</f>
        <v>1.2448139350987362</v>
      </c>
      <c r="I35" s="592">
        <v>10000</v>
      </c>
      <c r="J35" s="343">
        <f t="shared" ref="J35" si="223">C35*E35*F35*H35/1000000*I35</f>
        <v>3.8587837796453504</v>
      </c>
      <c r="K35" s="219">
        <f t="shared" ref="K35" si="224">1501.20185/G35-2.40935*G35+0.02115*G35^2+174.47635</f>
        <v>187.78131877798023</v>
      </c>
      <c r="L35" s="592">
        <v>2891</v>
      </c>
      <c r="M35" s="343">
        <f t="shared" ref="M35" si="225">C35*E35*F35*K35/1000000*L35</f>
        <v>168.28541549313667</v>
      </c>
      <c r="N35" s="219">
        <f t="shared" ref="N35" si="226">-0.25063622/G35-0.00657231*G35+0.00005332*G35^2+0.29056757</f>
        <v>0.14981288928616346</v>
      </c>
      <c r="O35" s="592">
        <v>840100</v>
      </c>
      <c r="P35" s="343">
        <f t="shared" ref="P35" si="227">C35*E35*F35*N35/1000000*O35</f>
        <v>39.014510962231988</v>
      </c>
      <c r="Q35" s="219">
        <f t="shared" ref="Q35" si="228">0.093055673/G35-0.0002682273*G35+0.00000218*G35^2+0.0173678037</f>
        <v>1.5769157934508494E-2</v>
      </c>
      <c r="R35" s="592">
        <v>482200</v>
      </c>
      <c r="S35" s="343">
        <f t="shared" ref="S35" si="229">C35*E35*F35*Q35/1000000*R35</f>
        <v>2.3571201028210909</v>
      </c>
      <c r="T35" s="219">
        <f t="shared" ref="T35" si="230">0.630901162/G35-0.001006579*G35+0.000008915*G35^2+0.0072170055</f>
        <v>1.2974191796488203E-2</v>
      </c>
      <c r="U35" s="592">
        <v>160</v>
      </c>
      <c r="V35" s="343">
        <f t="shared" ref="V35" si="231">C35*E35*F35*T35*U35</f>
        <v>643.49666335411553</v>
      </c>
      <c r="W35" s="598"/>
      <c r="X35" s="598"/>
      <c r="Y35" s="598"/>
      <c r="Z35" s="595"/>
    </row>
    <row r="36" spans="1:26" ht="15" customHeight="1">
      <c r="A36" s="604"/>
      <c r="B36" s="589"/>
      <c r="C36" s="587"/>
      <c r="D36" s="217" t="s">
        <v>66</v>
      </c>
      <c r="E36" s="344">
        <f>'ｼｰﾄNO.4（表-4）60頁'!K38</f>
        <v>2.2000000000000002</v>
      </c>
      <c r="F36" s="591"/>
      <c r="G36" s="591"/>
      <c r="H36" s="218">
        <f t="shared" ref="H36" si="232">12.28697452/G35-0.05907844*G35+0.00051753*G35^2+2.69979197</f>
        <v>2.0415932365843594</v>
      </c>
      <c r="I36" s="593"/>
      <c r="J36" s="345">
        <f t="shared" ref="J36" si="233">C35*E36*F35*H36/1000000*I35</f>
        <v>0.33309001973521141</v>
      </c>
      <c r="K36" s="218">
        <f t="shared" ref="K36" si="234">908.52069/G35-23.49889*G35+0.18396*G35^2+1364.81344</f>
        <v>929.79684512079211</v>
      </c>
      <c r="L36" s="593"/>
      <c r="M36" s="345">
        <f t="shared" ref="M36" si="235">C35*E36*F35*K36/1000000*L35</f>
        <v>43.855953920405135</v>
      </c>
      <c r="N36" s="218">
        <f t="shared" ref="N36" si="236">9.45345681/G35-0.14325844*G35+0.00124097*G35^2+5.98054622</f>
        <v>3.5598014520360097</v>
      </c>
      <c r="O36" s="593"/>
      <c r="P36" s="345">
        <f t="shared" ref="P36" si="237">C35*E36*F35*N36/1000000*O35</f>
        <v>48.792060913481663</v>
      </c>
      <c r="Q36" s="218">
        <f t="shared" ref="Q36" si="238">0.6037810576/G35-0.0052863845*G35+0.000423961*G35^2+0.3189943526</f>
        <v>0.47488392074238339</v>
      </c>
      <c r="R36" s="593"/>
      <c r="S36" s="345">
        <f t="shared" ref="S36" si="239">C35*E36*F35*Q36/1000000*R35</f>
        <v>3.736001766490276</v>
      </c>
      <c r="T36" s="218">
        <f t="shared" ref="T36" si="240">0.2877659/G35-0.008903887*G35+0.000069093*G35^2+0.516185391</f>
        <v>0.34870951917435056</v>
      </c>
      <c r="U36" s="593"/>
      <c r="V36" s="345">
        <f t="shared" ref="V36" si="241">C35*E36*F35*T36*U35</f>
        <v>910.2824875573383</v>
      </c>
      <c r="W36" s="598"/>
      <c r="X36" s="598"/>
      <c r="Y36" s="598"/>
      <c r="Z36" s="595"/>
    </row>
    <row r="37" spans="1:26" ht="15" customHeight="1">
      <c r="A37" s="604"/>
      <c r="B37" s="588" t="s">
        <v>48</v>
      </c>
      <c r="C37" s="586">
        <f>'ｼｰﾄNO.3（表-3）59頁'!$F$30</f>
        <v>9</v>
      </c>
      <c r="D37" s="216" t="s">
        <v>65</v>
      </c>
      <c r="E37" s="342">
        <f>'ｼｰﾄNO.4（表-4）60頁'!K39</f>
        <v>753.34999999999991</v>
      </c>
      <c r="F37" s="590">
        <f>'ｼｰﾄNO.4（表-4）60頁'!C39/1000</f>
        <v>1.054</v>
      </c>
      <c r="G37" s="590">
        <f>'ｼｰﾄNO.4（表-4）60頁'!C39/1000/('ｼｰﾄNO.4（表-4）60頁'!H39/3600)</f>
        <v>30.6</v>
      </c>
      <c r="H37" s="219">
        <f t="shared" ref="H37" si="242">-2.71095565/G37-0.09453616*G37+0.00089493*G37^2+3.15403637</f>
        <v>1.0106132069045755</v>
      </c>
      <c r="I37" s="592">
        <v>10000</v>
      </c>
      <c r="J37" s="343">
        <f t="shared" ref="J37" si="243">C37*E37*F37*H37/1000000*I37</f>
        <v>72.221230280729358</v>
      </c>
      <c r="K37" s="219">
        <f t="shared" ref="K37" si="244">1501.20185/G37-2.40935*G37+0.02115*G37^2+174.47635</f>
        <v>169.61313798692811</v>
      </c>
      <c r="L37" s="592">
        <v>2891</v>
      </c>
      <c r="M37" s="343">
        <f t="shared" ref="M37" si="245">C37*E37*F37*K37/1000000*L37</f>
        <v>3504.1887711767467</v>
      </c>
      <c r="N37" s="219">
        <f t="shared" ref="N37" si="246">-0.25063622/G37-0.00657231*G37+0.00005332*G37^2+0.29056757</f>
        <v>0.13119087305620916</v>
      </c>
      <c r="O37" s="592">
        <v>840100</v>
      </c>
      <c r="P37" s="343">
        <f t="shared" ref="P37" si="247">C37*E37*F37*N37/1000000*O37</f>
        <v>787.61598160113681</v>
      </c>
      <c r="Q37" s="219">
        <f t="shared" ref="Q37" si="248">0.093055673/G37-0.0002682273*G37+0.00000218*G37^2+0.0173678037</f>
        <v>1.4242348185359476E-2</v>
      </c>
      <c r="R37" s="592">
        <v>482200</v>
      </c>
      <c r="S37" s="343">
        <f t="shared" ref="S37" si="249">C37*E37*F37*Q37/1000000*R37</f>
        <v>49.078210364257536</v>
      </c>
      <c r="T37" s="219">
        <f t="shared" ref="T37" si="250">0.630901162/G37-0.001006579*G37+0.000008915*G37^2+0.0072170055</f>
        <v>5.3810225326797346E-3</v>
      </c>
      <c r="U37" s="592">
        <v>160</v>
      </c>
      <c r="V37" s="343">
        <f t="shared" ref="V37" si="251">C37*E37*F37*T37*U37</f>
        <v>6152.6853569433151</v>
      </c>
      <c r="W37" s="598"/>
      <c r="X37" s="598"/>
      <c r="Y37" s="598"/>
      <c r="Z37" s="595"/>
    </row>
    <row r="38" spans="1:26" ht="15" customHeight="1">
      <c r="A38" s="604"/>
      <c r="B38" s="589"/>
      <c r="C38" s="587"/>
      <c r="D38" s="217" t="s">
        <v>66</v>
      </c>
      <c r="E38" s="344">
        <f>'ｼｰﾄNO.4（表-4）60頁'!K40</f>
        <v>39.650000000000006</v>
      </c>
      <c r="F38" s="591"/>
      <c r="G38" s="591"/>
      <c r="H38" s="218">
        <f t="shared" ref="H38" si="252">12.28697452/G37-0.05907844*G37+0.00051753*G37^2+2.69979197</f>
        <v>1.7781212118326797</v>
      </c>
      <c r="I38" s="593"/>
      <c r="J38" s="345">
        <f t="shared" ref="J38" si="253">C37*E38*F37*H38/1000000*I37</f>
        <v>6.6878677238238646</v>
      </c>
      <c r="K38" s="218">
        <f t="shared" ref="K38" si="254">908.52069/G37-23.49889*G37+0.18396*G37^2+1364.81344</f>
        <v>847.69041022745091</v>
      </c>
      <c r="L38" s="593"/>
      <c r="M38" s="345">
        <f t="shared" ref="M38" si="255">C37*E38*F37*K38/1000000*L37</f>
        <v>921.74687465362149</v>
      </c>
      <c r="N38" s="218">
        <f t="shared" ref="N38" si="256">9.45345681/G37-0.14325844*G37+0.00124097*G37^2+5.98054622</f>
        <v>3.0677691222588237</v>
      </c>
      <c r="O38" s="593"/>
      <c r="P38" s="345">
        <f t="shared" ref="P38" si="257">C37*E38*F37*N38/1000000*O37</f>
        <v>969.3485579106931</v>
      </c>
      <c r="Q38" s="218">
        <f t="shared" ref="Q38" si="258">0.6037810576/G37-0.0052863845*G37+0.000423961*G37^2+0.3189943526</f>
        <v>0.57394251597111112</v>
      </c>
      <c r="R38" s="593"/>
      <c r="S38" s="345">
        <f t="shared" ref="S38" si="259">C37*E38*F37*Q38/1000000*R37</f>
        <v>104.09309346591348</v>
      </c>
      <c r="T38" s="218">
        <f t="shared" ref="T38" si="260">0.2877659/G37-0.008903887*G37+0.000069093*G37^2+0.516185391</f>
        <v>0.31782648465908503</v>
      </c>
      <c r="U38" s="593"/>
      <c r="V38" s="345">
        <f t="shared" ref="V38" si="261">C37*E38*F37*T38*U37</f>
        <v>19126.538500372259</v>
      </c>
      <c r="W38" s="598"/>
      <c r="X38" s="598"/>
      <c r="Y38" s="598"/>
      <c r="Z38" s="595"/>
    </row>
    <row r="39" spans="1:26" ht="15" customHeight="1">
      <c r="A39" s="604"/>
      <c r="B39" s="588" t="s">
        <v>49</v>
      </c>
      <c r="C39" s="586">
        <f>'ｼｰﾄNO.3（表-3）59頁'!$F$30</f>
        <v>9</v>
      </c>
      <c r="D39" s="216" t="s">
        <v>65</v>
      </c>
      <c r="E39" s="342">
        <f>'ｼｰﾄNO.4（表-4）60頁'!K41</f>
        <v>39.9</v>
      </c>
      <c r="F39" s="590">
        <f>'ｼｰﾄNO.4（表-4）60頁'!C41/1000</f>
        <v>0.84799999999999998</v>
      </c>
      <c r="G39" s="590">
        <f>'ｼｰﾄNO.4（表-4）60頁'!C41/1000/('ｼｰﾄNO.4（表-4）60頁'!H41/3600)</f>
        <v>22.613333333333333</v>
      </c>
      <c r="H39" s="219">
        <f t="shared" ref="H39" si="262">-2.71095565/G39-0.09453616*G39+0.00089493*G39^2+3.15403637</f>
        <v>1.3540095598927391</v>
      </c>
      <c r="I39" s="592">
        <v>10000</v>
      </c>
      <c r="J39" s="343">
        <f t="shared" ref="J39" si="263">C39*E39*F39*H39/1000000*I39</f>
        <v>4.1231865834794519</v>
      </c>
      <c r="K39" s="219">
        <f t="shared" ref="K39" si="264">1501.20185/G39-2.40935*G39+0.02115*G39^2+174.47635</f>
        <v>197.19393451102201</v>
      </c>
      <c r="L39" s="592">
        <v>2891</v>
      </c>
      <c r="M39" s="343">
        <f t="shared" ref="M39" si="265">C39*E39*F39*K39/1000000*L39</f>
        <v>173.60127136519699</v>
      </c>
      <c r="N39" s="219">
        <f t="shared" ref="N39" si="266">-0.25063622/G39-0.00657231*G39+0.00005332*G39^2+0.29056757</f>
        <v>0.15812804080870232</v>
      </c>
      <c r="O39" s="592">
        <v>840100</v>
      </c>
      <c r="P39" s="343">
        <f t="shared" ref="P39" si="267">C39*E39*F39*N39/1000000*O39</f>
        <v>40.453037045459503</v>
      </c>
      <c r="Q39" s="219">
        <f t="shared" ref="Q39" si="268">0.093055673/G39-0.0002682273*G39+0.00000218*G39^2+0.0173678037</f>
        <v>1.6532141236016248E-2</v>
      </c>
      <c r="R39" s="592">
        <v>482200</v>
      </c>
      <c r="S39" s="343">
        <f t="shared" ref="S39" si="269">C39*E39*F39*Q39/1000000*R39</f>
        <v>2.4275465706850095</v>
      </c>
      <c r="T39" s="219">
        <f t="shared" ref="T39" si="270">0.630901162/G39-0.001006579*G39+0.000008915*G39^2+0.0072170055</f>
        <v>1.6913219530124743E-2</v>
      </c>
      <c r="U39" s="592">
        <v>160</v>
      </c>
      <c r="V39" s="343">
        <f t="shared" ref="V39" si="271">C39*E39*F39*T39*U39</f>
        <v>824.05751824177446</v>
      </c>
      <c r="W39" s="598"/>
      <c r="X39" s="598"/>
      <c r="Y39" s="598"/>
      <c r="Z39" s="595"/>
    </row>
    <row r="40" spans="1:26" ht="15" customHeight="1">
      <c r="A40" s="604"/>
      <c r="B40" s="589"/>
      <c r="C40" s="587"/>
      <c r="D40" s="217" t="s">
        <v>66</v>
      </c>
      <c r="E40" s="344">
        <f>'ｼｰﾄNO.4（表-4）60頁'!K42</f>
        <v>2.1</v>
      </c>
      <c r="F40" s="591"/>
      <c r="G40" s="591"/>
      <c r="H40" s="218">
        <f t="shared" ref="H40" si="272">12.28697452/G39-0.05907844*G39+0.00051753*G39^2+2.69979197</f>
        <v>2.1718280043001132</v>
      </c>
      <c r="I40" s="593"/>
      <c r="J40" s="345">
        <f t="shared" ref="J40" si="273">C39*E40*F39*H40/1000000*I39</f>
        <v>0.34808321790518776</v>
      </c>
      <c r="K40" s="218">
        <f t="shared" ref="K40" si="274">908.52069/G39-23.49889*G39+0.18396*G39^2+1364.81344</f>
        <v>967.67184401344969</v>
      </c>
      <c r="L40" s="593"/>
      <c r="M40" s="345">
        <f t="shared" ref="M40" si="275">C39*E40*F39*K40/1000000*L39</f>
        <v>44.8367218856745</v>
      </c>
      <c r="N40" s="218">
        <f t="shared" ref="N40" si="276">9.45345681/G39-0.14325844*G39+0.00124097*G39^2+5.98054622</f>
        <v>3.7936292257149553</v>
      </c>
      <c r="O40" s="593"/>
      <c r="P40" s="345">
        <f t="shared" ref="P40" si="277">C39*E40*F39*N40/1000000*O39</f>
        <v>51.079133759590775</v>
      </c>
      <c r="Q40" s="218">
        <f t="shared" ref="Q40" si="278">0.6037810576/G39-0.0052863845*G39+0.000423961*G39^2+0.3189943526</f>
        <v>0.4429497043225048</v>
      </c>
      <c r="R40" s="593"/>
      <c r="S40" s="345">
        <f t="shared" ref="S40" si="279">C39*E40*F39*Q40/1000000*R39</f>
        <v>3.4232552162389305</v>
      </c>
      <c r="T40" s="218">
        <f t="shared" ref="T40" si="280">0.2877659/G39-0.008903887*G39+0.000069093*G39^2+0.516185391</f>
        <v>0.3628959160749422</v>
      </c>
      <c r="U40" s="593"/>
      <c r="V40" s="345">
        <f t="shared" ref="V40" si="281">C39*E40*F39*T40*U39</f>
        <v>930.59286817861016</v>
      </c>
      <c r="W40" s="598"/>
      <c r="X40" s="598"/>
      <c r="Y40" s="598"/>
      <c r="Z40" s="595"/>
    </row>
    <row r="41" spans="1:26" ht="15" customHeight="1">
      <c r="A41" s="604"/>
      <c r="B41" s="588" t="s">
        <v>50</v>
      </c>
      <c r="C41" s="586">
        <f>'ｼｰﾄNO.3（表-3）59頁'!$F$30</f>
        <v>9</v>
      </c>
      <c r="D41" s="216" t="s">
        <v>65</v>
      </c>
      <c r="E41" s="342">
        <f>'ｼｰﾄNO.4（表-4）60頁'!K43</f>
        <v>147.25</v>
      </c>
      <c r="F41" s="590">
        <f>'ｼｰﾄNO.4（表-4）60頁'!C43/1000</f>
        <v>0.91</v>
      </c>
      <c r="G41" s="590">
        <f>'ｼｰﾄNO.4（表-4）60頁'!C43/1000/('ｼｰﾄNO.4（表-4）60頁'!H43/3600)</f>
        <v>30.055045871559635</v>
      </c>
      <c r="H41" s="219">
        <f t="shared" ref="H41" si="282">-2.71095565/G41-0.09453616*G41+0.00089493*G41^2+3.15403637</f>
        <v>1.030943504144429</v>
      </c>
      <c r="I41" s="592">
        <v>10000</v>
      </c>
      <c r="J41" s="343">
        <f t="shared" ref="J41" si="283">C41*E41*F41*H41/1000000*I41</f>
        <v>12.432946697693382</v>
      </c>
      <c r="K41" s="219">
        <f t="shared" ref="K41" si="284">1501.20185/G41-2.40935*G41+0.02115*G41^2+174.47635</f>
        <v>171.11655572795735</v>
      </c>
      <c r="L41" s="592">
        <v>2891</v>
      </c>
      <c r="M41" s="343">
        <f t="shared" ref="M41" si="285">C41*E41*F41*K41/1000000*L41</f>
        <v>596.59461220292803</v>
      </c>
      <c r="N41" s="219">
        <f t="shared" ref="N41" si="286">-0.25063622/G41-0.00657231*G41+0.00005332*G41^2+0.29056757</f>
        <v>0.13286151647220723</v>
      </c>
      <c r="O41" s="592">
        <v>840100</v>
      </c>
      <c r="P41" s="343">
        <f t="shared" ref="P41" si="287">C41*E41*F41*N41/1000000*O41</f>
        <v>134.60754236429162</v>
      </c>
      <c r="Q41" s="219">
        <f t="shared" ref="Q41" si="288">0.093055673/G41-0.0002682273*G41+0.00000218*G41^2+0.0173678037</f>
        <v>1.4371601212148963E-2</v>
      </c>
      <c r="R41" s="592">
        <v>482200</v>
      </c>
      <c r="S41" s="343">
        <f t="shared" ref="S41" si="289">C41*E41*F41*Q41/1000000*R41</f>
        <v>8.3574073173375147</v>
      </c>
      <c r="T41" s="219">
        <f t="shared" ref="T41" si="290">0.630901162/G41-0.001006579*G41+0.000008915*G41^2+0.0072170055</f>
        <v>6.0087207101030028E-3</v>
      </c>
      <c r="U41" s="592">
        <v>160</v>
      </c>
      <c r="V41" s="343">
        <f t="shared" ref="V41" si="291">C41*E41*F41*T41*U41</f>
        <v>1159.4211168269189</v>
      </c>
      <c r="W41" s="598"/>
      <c r="X41" s="598"/>
      <c r="Y41" s="598"/>
      <c r="Z41" s="595"/>
    </row>
    <row r="42" spans="1:26" ht="15" customHeight="1">
      <c r="A42" s="604"/>
      <c r="B42" s="589"/>
      <c r="C42" s="587"/>
      <c r="D42" s="217" t="s">
        <v>66</v>
      </c>
      <c r="E42" s="344">
        <f>'ｼｰﾄNO.4（表-4）60頁'!K44</f>
        <v>7.75</v>
      </c>
      <c r="F42" s="591"/>
      <c r="G42" s="591"/>
      <c r="H42" s="218">
        <f t="shared" ref="H42" si="292">12.28697452/G41-0.05907844*G41+0.00051753*G41^2+2.69979197</f>
        <v>1.8004902841038075</v>
      </c>
      <c r="I42" s="593"/>
      <c r="J42" s="345">
        <f t="shared" ref="J42" si="293">C41*E42*F41*H42/1000000*I41</f>
        <v>1.1428161955777894</v>
      </c>
      <c r="K42" s="218">
        <f t="shared" ref="K42" si="294">908.52069/G41-23.49889*G41+0.18396*G41^2+1364.81344</f>
        <v>854.95391259522842</v>
      </c>
      <c r="L42" s="593"/>
      <c r="M42" s="345">
        <f t="shared" ref="M42" si="295">C41*E42*F41*K42/1000000*L41</f>
        <v>156.88318586992705</v>
      </c>
      <c r="N42" s="218">
        <f t="shared" ref="N42" si="296">9.45345681/G41-0.14325844*G41+0.00124097*G41^2+5.98054622</f>
        <v>3.11042070390894</v>
      </c>
      <c r="O42" s="593"/>
      <c r="P42" s="345">
        <f t="shared" ref="P42" si="297">C41*E42*F41*N42/1000000*O41</f>
        <v>165.85773224605546</v>
      </c>
      <c r="Q42" s="218">
        <f t="shared" ref="Q42" si="298">0.6037810576/G41-0.0052863845*G41+0.000423961*G41^2+0.3189943526</f>
        <v>0.56316742112801155</v>
      </c>
      <c r="R42" s="593"/>
      <c r="S42" s="345">
        <f t="shared" ref="S42" si="299">C41*E42*F41*Q42/1000000*R41</f>
        <v>17.236549603125507</v>
      </c>
      <c r="T42" s="218">
        <f t="shared" ref="T42" si="300">0.2877659/G41-0.008903887*G41+0.000069093*G41^2+0.516185391</f>
        <v>0.32056539374004506</v>
      </c>
      <c r="U42" s="593"/>
      <c r="V42" s="345">
        <f t="shared" ref="V42" si="301">C41*E42*F41*T42*U41</f>
        <v>3255.5339126664016</v>
      </c>
      <c r="W42" s="598"/>
      <c r="X42" s="598"/>
      <c r="Y42" s="598"/>
      <c r="Z42" s="595"/>
    </row>
    <row r="43" spans="1:26" ht="15" customHeight="1">
      <c r="A43" s="604"/>
      <c r="B43" s="588" t="s">
        <v>51</v>
      </c>
      <c r="C43" s="586">
        <f>'ｼｰﾄNO.3（表-3）59頁'!$F$30</f>
        <v>9</v>
      </c>
      <c r="D43" s="216" t="s">
        <v>65</v>
      </c>
      <c r="E43" s="342">
        <f>'ｼｰﾄNO.4（表-4）60頁'!K45</f>
        <v>54.15</v>
      </c>
      <c r="F43" s="590">
        <f>'ｼｰﾄNO.4（表-4）60頁'!C45/1000</f>
        <v>0.76100000000000001</v>
      </c>
      <c r="G43" s="590">
        <f>'ｼｰﾄNO.4（表-4）60頁'!C45/1000/('ｼｰﾄNO.4（表-4）60頁'!H45/3600)</f>
        <v>22.641322314049585</v>
      </c>
      <c r="H43" s="219">
        <f t="shared" ref="H43" si="302">-2.71095565/G43-0.09453616*G43+0.00089493*G43^2+3.15403637</f>
        <v>1.3526453340932798</v>
      </c>
      <c r="I43" s="592">
        <v>10000</v>
      </c>
      <c r="J43" s="343">
        <f t="shared" ref="J43" si="303">C43*E43*F43*H43/1000000*I43</f>
        <v>5.0166010641704384</v>
      </c>
      <c r="K43" s="219">
        <f t="shared" ref="K43" si="304">1501.20185/G43-2.40935*G43+0.02115*G43^2+174.47635</f>
        <v>197.07122317498113</v>
      </c>
      <c r="L43" s="592">
        <v>2891</v>
      </c>
      <c r="M43" s="343">
        <f t="shared" ref="M43" si="305">C43*E43*F43*K43/1000000*L43</f>
        <v>211.29875152721084</v>
      </c>
      <c r="N43" s="219">
        <f t="shared" ref="N43" si="306">-0.25063622/G43-0.00657231*G43+0.00005332*G43^2+0.29056757</f>
        <v>0.15802532673956798</v>
      </c>
      <c r="O43" s="592">
        <v>840100</v>
      </c>
      <c r="P43" s="343">
        <f t="shared" ref="P43" si="307">C43*E43*F43*N43/1000000*O43</f>
        <v>49.236061880939722</v>
      </c>
      <c r="Q43" s="219">
        <f t="shared" ref="Q43" si="308">0.093055673/G43-0.0002682273*G43+0.00000218*G43^2+0.0173678037</f>
        <v>1.6522308062949704E-2</v>
      </c>
      <c r="R43" s="592">
        <v>482200</v>
      </c>
      <c r="S43" s="343">
        <f t="shared" ref="S43" si="309">C43*E43*F43*Q43/1000000*R43</f>
        <v>2.9547690999286043</v>
      </c>
      <c r="T43" s="219">
        <f t="shared" ref="T43" si="310">0.630901162/G43-0.001006579*G43+0.000008915*G43^2+0.0072170055</f>
        <v>1.6861849317317577E-2</v>
      </c>
      <c r="U43" s="592">
        <v>160</v>
      </c>
      <c r="V43" s="343">
        <f t="shared" ref="V43" si="311">C43*E43*F43*T43*U43</f>
        <v>1000.5776869614051</v>
      </c>
      <c r="W43" s="598"/>
      <c r="X43" s="598"/>
      <c r="Y43" s="598"/>
      <c r="Z43" s="595"/>
    </row>
    <row r="44" spans="1:26" ht="15" customHeight="1">
      <c r="A44" s="604"/>
      <c r="B44" s="589"/>
      <c r="C44" s="587"/>
      <c r="D44" s="217" t="s">
        <v>66</v>
      </c>
      <c r="E44" s="344">
        <f>'ｼｰﾄNO.4（表-4）60頁'!K46</f>
        <v>2.85</v>
      </c>
      <c r="F44" s="591"/>
      <c r="G44" s="591"/>
      <c r="H44" s="218">
        <f t="shared" ref="H44" si="312">12.28697452/G43-0.05907844*G43+0.00051753*G43^2+2.69979197</f>
        <v>2.1701582938483104</v>
      </c>
      <c r="I44" s="593"/>
      <c r="J44" s="345">
        <f t="shared" ref="J44" si="313">C43*E44*F43*H44/1000000*I43</f>
        <v>0.42360730340516178</v>
      </c>
      <c r="K44" s="218">
        <f t="shared" ref="K44" si="314">908.52069/G43-23.49889*G43+0.18396*G43^2+1364.81344</f>
        <v>967.19747801654171</v>
      </c>
      <c r="L44" s="593"/>
      <c r="M44" s="345">
        <f t="shared" ref="M44" si="315">C43*E44*F43*K44/1000000*L43</f>
        <v>54.580218923854325</v>
      </c>
      <c r="N44" s="218">
        <f t="shared" ref="N44" si="316">9.45345681/G43-0.14325844*G43+0.00124097*G43^2+5.98054622</f>
        <v>3.7906746331889405</v>
      </c>
      <c r="O44" s="593"/>
      <c r="P44" s="345">
        <f t="shared" ref="P44" si="317">C43*E44*F43*N44/1000000*O43</f>
        <v>62.161218631340638</v>
      </c>
      <c r="Q44" s="218">
        <f t="shared" ref="Q44" si="318">0.6037810576/G43-0.0052863845*G43+0.000423961*G43^2+0.3189943526</f>
        <v>0.44330573968938591</v>
      </c>
      <c r="R44" s="593"/>
      <c r="S44" s="345">
        <f t="shared" ref="S44" si="319">C43*E44*F43*Q44/1000000*R43</f>
        <v>4.1725599635692037</v>
      </c>
      <c r="T44" s="218">
        <f t="shared" ref="T44" si="320">0.2877659/G43-0.008903887*G43+0.000069093*G43^2+0.516185391</f>
        <v>0.36271848960200154</v>
      </c>
      <c r="U44" s="593"/>
      <c r="V44" s="345">
        <f t="shared" ref="V44" si="321">C43*E44*F43*T44*U43</f>
        <v>1132.8220744895536</v>
      </c>
      <c r="W44" s="598"/>
      <c r="X44" s="598"/>
      <c r="Y44" s="598"/>
      <c r="Z44" s="595"/>
    </row>
    <row r="45" spans="1:26" ht="15" customHeight="1">
      <c r="A45" s="604"/>
      <c r="B45" s="588" t="s">
        <v>52</v>
      </c>
      <c r="C45" s="586">
        <f>'ｼｰﾄNO.3（表-3）59頁'!$F$30</f>
        <v>9</v>
      </c>
      <c r="D45" s="216" t="s">
        <v>65</v>
      </c>
      <c r="E45" s="342">
        <f>'ｼｰﾄNO.4（表-4）60頁'!K47</f>
        <v>158.65</v>
      </c>
      <c r="F45" s="590">
        <f>'ｼｰﾄNO.4（表-4）60頁'!C47/1000</f>
        <v>0.84799999999999998</v>
      </c>
      <c r="G45" s="590">
        <f>'ｼｰﾄNO.4（表-4）60頁'!C47/1000/('ｼｰﾄNO.4（表-4）60頁'!H47/3600)</f>
        <v>27.752727272727274</v>
      </c>
      <c r="H45" s="219">
        <f t="shared" ref="H45" si="322">-2.71095565/G45-0.09453616*G45+0.00089493*G45^2+3.15403637</f>
        <v>1.1220051084994243</v>
      </c>
      <c r="I45" s="592">
        <v>10000</v>
      </c>
      <c r="J45" s="343">
        <f t="shared" ref="J45" si="323">C45*E45*F45*H45/1000000*I45</f>
        <v>13.585426350569257</v>
      </c>
      <c r="K45" s="219">
        <f t="shared" ref="K45" si="324">1501.20185/G45-2.40935*G45+0.02115*G45^2+174.47635</f>
        <v>177.99238771086846</v>
      </c>
      <c r="L45" s="592">
        <v>2891</v>
      </c>
      <c r="M45" s="343">
        <f t="shared" ref="M45" si="325">C45*E45*F45*K45/1000000*L45</f>
        <v>623.0572570462441</v>
      </c>
      <c r="N45" s="219">
        <f t="shared" ref="N45" si="326">-0.25063622/G45-0.00657231*G45+0.00005332*G45^2+0.29056757</f>
        <v>0.14020479834032479</v>
      </c>
      <c r="O45" s="592">
        <v>840100</v>
      </c>
      <c r="P45" s="343">
        <f t="shared" ref="P45" si="327">C45*E45*F45*N45/1000000*O45</f>
        <v>142.6173294602321</v>
      </c>
      <c r="Q45" s="219">
        <f t="shared" ref="Q45" si="328">0.093055673/G45-0.0002682273*G45+0.00000218*G45^2+0.0173678037</f>
        <v>1.4955858884601478E-2</v>
      </c>
      <c r="R45" s="592">
        <v>482200</v>
      </c>
      <c r="S45" s="343">
        <f t="shared" ref="S45" si="329">C45*E45*F45*Q45/1000000*R45</f>
        <v>8.7320658654652625</v>
      </c>
      <c r="T45" s="219">
        <f t="shared" ref="T45" si="330">0.630901162/G45-0.001006579*G45+0.000008915*G45^2+0.0072170055</f>
        <v>8.8810925083286883E-3</v>
      </c>
      <c r="U45" s="592">
        <v>160</v>
      </c>
      <c r="V45" s="343">
        <f t="shared" ref="V45" si="331">C45*E45*F45*T45*U45</f>
        <v>1720.5401618301628</v>
      </c>
      <c r="W45" s="598"/>
      <c r="X45" s="598"/>
      <c r="Y45" s="598"/>
      <c r="Z45" s="595"/>
    </row>
    <row r="46" spans="1:26" ht="15" customHeight="1">
      <c r="A46" s="604"/>
      <c r="B46" s="589"/>
      <c r="C46" s="587"/>
      <c r="D46" s="217" t="s">
        <v>66</v>
      </c>
      <c r="E46" s="344">
        <f>'ｼｰﾄNO.4（表-4）60頁'!K48</f>
        <v>8.35</v>
      </c>
      <c r="F46" s="591"/>
      <c r="G46" s="591"/>
      <c r="H46" s="218">
        <f t="shared" ref="H46" si="332">12.28697452/G45-0.05907844*G45+0.00051753*G45^2+2.69979197</f>
        <v>1.9015432666737011</v>
      </c>
      <c r="I46" s="593"/>
      <c r="J46" s="345">
        <f t="shared" ref="J46" si="333">C45*E46*F45*H46/1000000*I45</f>
        <v>1.2118002806396826</v>
      </c>
      <c r="K46" s="218">
        <f t="shared" ref="K46" si="334">908.52069/G45-23.49889*G45+0.18396*G45^2+1364.81344</f>
        <v>887.07996534181075</v>
      </c>
      <c r="L46" s="593"/>
      <c r="M46" s="345">
        <f t="shared" ref="M46" si="335">C45*E46*F45*K46/1000000*L45</f>
        <v>163.43147476395285</v>
      </c>
      <c r="N46" s="218">
        <f t="shared" ref="N46" si="336">9.45345681/G45-0.14325844*G45+0.00124097*G45^2+5.98054622</f>
        <v>3.3011777457107159</v>
      </c>
      <c r="O46" s="593"/>
      <c r="P46" s="345">
        <f t="shared" ref="P46" si="337">C45*E46*F45*N46/1000000*O45</f>
        <v>176.73588160806659</v>
      </c>
      <c r="Q46" s="218">
        <f t="shared" ref="Q46" si="338">0.6037810576/G45-0.0052863845*G45+0.000423961*G45^2+0.3189943526</f>
        <v>0.52057914610079359</v>
      </c>
      <c r="R46" s="593"/>
      <c r="S46" s="345">
        <f t="shared" ref="S46" si="339">C45*E46*F45*Q46/1000000*R45</f>
        <v>15.997009765500021</v>
      </c>
      <c r="T46" s="218">
        <f t="shared" ref="T46" si="340">0.2877659/G45-0.008903887*G45+0.000069093*G45^2+0.516185391</f>
        <v>0.33266355369950334</v>
      </c>
      <c r="U46" s="593"/>
      <c r="V46" s="345">
        <f t="shared" ref="V46" si="341">C45*E46*F45*T46*U45</f>
        <v>3391.9546910910376</v>
      </c>
      <c r="W46" s="598"/>
      <c r="X46" s="598"/>
      <c r="Y46" s="598"/>
      <c r="Z46" s="595"/>
    </row>
    <row r="47" spans="1:26" ht="15" customHeight="1">
      <c r="A47" s="604"/>
      <c r="B47" s="588" t="s">
        <v>53</v>
      </c>
      <c r="C47" s="586">
        <f>'ｼｰﾄNO.3（表-3）59頁'!$F$30</f>
        <v>9</v>
      </c>
      <c r="D47" s="216" t="s">
        <v>65</v>
      </c>
      <c r="E47" s="342">
        <f>'ｼｰﾄNO.4（表-4）60頁'!K49</f>
        <v>738.15</v>
      </c>
      <c r="F47" s="590">
        <f>'ｼｰﾄNO.4（表-4）60頁'!C49/1000</f>
        <v>0.61699999999999999</v>
      </c>
      <c r="G47" s="590">
        <f>'ｼｰﾄNO.4（表-4）60頁'!C49/1000/('ｼｰﾄNO.4（表-4）60頁'!H49/3600)</f>
        <v>27.087804878048779</v>
      </c>
      <c r="H47" s="219">
        <f t="shared" ref="H47" si="342">-2.71095565/G47-0.09453616*G47+0.00089493*G47^2+3.15403637</f>
        <v>1.1498331610692509</v>
      </c>
      <c r="I47" s="592">
        <v>10000</v>
      </c>
      <c r="J47" s="343">
        <f t="shared" ref="J47" si="343">C47*E47*F47*H47/1000000*I47</f>
        <v>47.131051285736646</v>
      </c>
      <c r="K47" s="219">
        <f t="shared" ref="K47" si="344">1501.20185/G47-2.40935*G47+0.02115*G47^2+174.47635</f>
        <v>180.15098372041632</v>
      </c>
      <c r="L47" s="592">
        <v>2891</v>
      </c>
      <c r="M47" s="343">
        <f t="shared" ref="M47" si="345">C47*E47*F47*K47/1000000*L47</f>
        <v>2134.7991793275273</v>
      </c>
      <c r="N47" s="219">
        <f t="shared" ref="N47" si="346">-0.25063622/G47-0.00657231*G47+0.00005332*G47^2+0.29056757</f>
        <v>0.14240889225716619</v>
      </c>
      <c r="O47" s="592">
        <v>840100</v>
      </c>
      <c r="P47" s="343">
        <f t="shared" ref="P47" si="347">C47*E47*F47*N47/1000000*O47</f>
        <v>490.3886280885846</v>
      </c>
      <c r="Q47" s="219">
        <f t="shared" ref="Q47" si="348">0.093055673/G47-0.0002682273*G47+0.00000218*G47^2+0.0173678037</f>
        <v>1.5137022719626959E-2</v>
      </c>
      <c r="R47" s="592">
        <v>482200</v>
      </c>
      <c r="S47" s="343">
        <f t="shared" ref="S47" si="349">C47*E47*F47*Q47/1000000*R47</f>
        <v>29.918510369013028</v>
      </c>
      <c r="T47" s="219">
        <f t="shared" ref="T47" si="350">0.630901162/G47-0.001006579*G47+0.000008915*G47^2+0.0072170055</f>
        <v>9.7833305544376171E-3</v>
      </c>
      <c r="U47" s="592">
        <v>160</v>
      </c>
      <c r="V47" s="343">
        <f t="shared" ref="V47" si="351">C47*E47*F47*T47*U47</f>
        <v>6416.2164699126197</v>
      </c>
      <c r="W47" s="598"/>
      <c r="X47" s="598"/>
      <c r="Y47" s="598"/>
      <c r="Z47" s="595"/>
    </row>
    <row r="48" spans="1:26" ht="15" customHeight="1">
      <c r="A48" s="604"/>
      <c r="B48" s="589"/>
      <c r="C48" s="587"/>
      <c r="D48" s="217" t="s">
        <v>66</v>
      </c>
      <c r="E48" s="344">
        <f>'ｼｰﾄNO.4（表-4）60頁'!K50</f>
        <v>38.85</v>
      </c>
      <c r="F48" s="591"/>
      <c r="G48" s="591"/>
      <c r="H48" s="218">
        <f t="shared" ref="H48" si="352">12.28697452/G47-0.05907844*G47+0.00051753*G47^2+2.69979197</f>
        <v>1.9328219392155921</v>
      </c>
      <c r="I48" s="593"/>
      <c r="J48" s="345">
        <f t="shared" ref="J48" si="353">C47*E48*F47*H48/1000000*I47</f>
        <v>4.1697550487583355</v>
      </c>
      <c r="K48" s="218">
        <f t="shared" ref="K48" si="354">908.52069/G47-23.49889*G47+0.18396*G47^2+1364.81344</f>
        <v>896.80043250303515</v>
      </c>
      <c r="L48" s="593"/>
      <c r="M48" s="345">
        <f t="shared" ref="M48" si="355">C47*E48*F47*K48/1000000*L47</f>
        <v>559.3228955982205</v>
      </c>
      <c r="N48" s="218">
        <f t="shared" ref="N48" si="356">9.45345681/G47-0.14325844*G47+0.00124097*G47^2+5.98054622</f>
        <v>3.3595433546140332</v>
      </c>
      <c r="O48" s="593"/>
      <c r="P48" s="345">
        <f t="shared" ref="P48" si="357">C47*E48*F47*N48/1000000*O47</f>
        <v>608.87750778424038</v>
      </c>
      <c r="Q48" s="218">
        <f t="shared" ref="Q48" si="358">0.6037810576/G47-0.0052863845*G47+0.000423961*G47^2+0.3189943526</f>
        <v>0.50916860825670229</v>
      </c>
      <c r="R48" s="593"/>
      <c r="S48" s="345">
        <f t="shared" ref="S48" si="359">C47*E48*F47*Q48/1000000*R47</f>
        <v>52.967261889381859</v>
      </c>
      <c r="T48" s="218">
        <f t="shared" ref="T48" si="360">0.2877659/G47-0.008903887*G47+0.000069093*G47^2+0.516185391</f>
        <v>0.33631901740188841</v>
      </c>
      <c r="U48" s="593"/>
      <c r="V48" s="345">
        <f t="shared" ref="V48" si="361">C47*E48*F47*T48*U47</f>
        <v>11608.874194580781</v>
      </c>
      <c r="W48" s="598"/>
      <c r="X48" s="598"/>
      <c r="Y48" s="598"/>
      <c r="Z48" s="595"/>
    </row>
    <row r="49" spans="1:26" ht="15" customHeight="1">
      <c r="A49" s="604"/>
      <c r="B49" s="588" t="s">
        <v>54</v>
      </c>
      <c r="C49" s="586">
        <f>'ｼｰﾄNO.3（表-3）59頁'!$F$30</f>
        <v>9</v>
      </c>
      <c r="D49" s="216" t="s">
        <v>65</v>
      </c>
      <c r="E49" s="342">
        <f>'ｼｰﾄNO.4（表-4）60頁'!K51</f>
        <v>133</v>
      </c>
      <c r="F49" s="590">
        <f>'ｼｰﾄNO.4（表-4）60頁'!C51/1000</f>
        <v>0.82399999999999995</v>
      </c>
      <c r="G49" s="590">
        <f>'ｼｰﾄNO.4（表-4）60頁'!C51/1000/('ｼｰﾄNO.4（表-4）60頁'!H51/3600)</f>
        <v>28.523076923076921</v>
      </c>
      <c r="H49" s="219">
        <f t="shared" ref="H49" si="362">-2.71095565/G49-0.09453616*G49+0.00089493*G49^2+3.15403637</f>
        <v>1.090614460615126</v>
      </c>
      <c r="I49" s="592">
        <v>10000</v>
      </c>
      <c r="J49" s="343">
        <f t="shared" ref="J49" si="363">C49*E49*F49*H49/1000000*I49</f>
        <v>10.757035797095959</v>
      </c>
      <c r="K49" s="219">
        <f t="shared" ref="K49" si="364">1501.20185/G49-2.40935*G49+0.02115*G49^2+174.47635</f>
        <v>175.59232658424133</v>
      </c>
      <c r="L49" s="592">
        <v>2891</v>
      </c>
      <c r="M49" s="343">
        <f t="shared" ref="M49" si="365">C49*E49*F49*K49/1000000*L49</f>
        <v>500.69699740136997</v>
      </c>
      <c r="N49" s="219">
        <f t="shared" ref="N49" si="366">-0.25063622/G49-0.00657231*G49+0.00005332*G49^2+0.29056757</f>
        <v>0.1376972627690112</v>
      </c>
      <c r="O49" s="592">
        <v>840100</v>
      </c>
      <c r="P49" s="343">
        <f t="shared" ref="P49" si="367">C49*E49*F49*N49/1000000*O49</f>
        <v>114.0979007322232</v>
      </c>
      <c r="Q49" s="219">
        <f t="shared" ref="Q49" si="368">0.093055673/G49-0.0002682273*G49+0.00000218*G49^2+0.0173678037</f>
        <v>1.4753179146136358E-2</v>
      </c>
      <c r="R49" s="592">
        <v>482200</v>
      </c>
      <c r="S49" s="343">
        <f t="shared" ref="S49" si="369">C49*E49*F49*Q49/1000000*R49</f>
        <v>7.0167206089060548</v>
      </c>
      <c r="T49" s="219">
        <f t="shared" ref="T49" si="370">0.630901162/G49-0.001006579*G49+0.000008915*G49^2+0.0072170055</f>
        <v>7.8781881831032213E-3</v>
      </c>
      <c r="U49" s="592">
        <v>160</v>
      </c>
      <c r="V49" s="343">
        <f t="shared" ref="V49" si="371">C49*E49*F49*T49*U49</f>
        <v>1243.2764150822136</v>
      </c>
      <c r="W49" s="598"/>
      <c r="X49" s="598"/>
      <c r="Y49" s="598"/>
      <c r="Z49" s="595"/>
    </row>
    <row r="50" spans="1:26" ht="15" customHeight="1">
      <c r="A50" s="604"/>
      <c r="B50" s="589"/>
      <c r="C50" s="587"/>
      <c r="D50" s="217" t="s">
        <v>66</v>
      </c>
      <c r="E50" s="344">
        <f>'ｼｰﾄNO.4（表-4）60頁'!K52</f>
        <v>7</v>
      </c>
      <c r="F50" s="591"/>
      <c r="G50" s="591"/>
      <c r="H50" s="218">
        <f t="shared" ref="H50" si="372">12.28697452/G49-0.05907844*G49+0.00051753*G49^2+2.69979197</f>
        <v>1.8665109593380467</v>
      </c>
      <c r="I50" s="593"/>
      <c r="J50" s="345">
        <f t="shared" ref="J50" si="373">C49*E50*F49*H50/1000000*I49</f>
        <v>0.96894316921156676</v>
      </c>
      <c r="K50" s="218">
        <f t="shared" ref="K50" si="374">908.52069/G49-23.49889*G49+0.18396*G49^2+1364.81344</f>
        <v>876.06850679459603</v>
      </c>
      <c r="L50" s="593"/>
      <c r="M50" s="345">
        <f t="shared" ref="M50" si="375">C49*E50*F49*K50/1000000*L49</f>
        <v>131.47825192676862</v>
      </c>
      <c r="N50" s="218">
        <f t="shared" ref="N50" si="376">9.45345681/G49-0.14325844*G49+0.00124097*G49^2+5.98054622</f>
        <v>3.2354174852760047</v>
      </c>
      <c r="O50" s="593"/>
      <c r="P50" s="345">
        <f t="shared" ref="P50" si="377">C49*E50*F49*N50/1000000*O49</f>
        <v>141.10066939559385</v>
      </c>
      <c r="Q50" s="218">
        <f t="shared" ref="Q50" si="378">0.6037810576/G49-0.0052863845*G49+0.000423961*G49^2+0.3189943526</f>
        <v>0.53429878072260373</v>
      </c>
      <c r="R50" s="593"/>
      <c r="S50" s="345">
        <f t="shared" ref="S50" si="379">C49*E50*F49*Q50/1000000*R49</f>
        <v>13.374549126609184</v>
      </c>
      <c r="T50" s="218">
        <f t="shared" ref="T50" si="380">0.2877659/G49-0.008903887*G49+0.000069093*G49^2+0.516185391</f>
        <v>0.32851972708814747</v>
      </c>
      <c r="U50" s="593"/>
      <c r="V50" s="345">
        <f t="shared" ref="V50" si="381">C49*E50*F49*T50*U49</f>
        <v>2728.6585716159857</v>
      </c>
      <c r="W50" s="598"/>
      <c r="X50" s="598"/>
      <c r="Y50" s="598"/>
      <c r="Z50" s="595"/>
    </row>
    <row r="51" spans="1:26" ht="15" customHeight="1">
      <c r="A51" s="604"/>
      <c r="B51" s="588" t="s">
        <v>55</v>
      </c>
      <c r="C51" s="586">
        <f>'ｼｰﾄNO.3（表-3）59頁'!$F$30</f>
        <v>9</v>
      </c>
      <c r="D51" s="216" t="s">
        <v>65</v>
      </c>
      <c r="E51" s="342">
        <f>'ｼｰﾄNO.4（表-4）60頁'!K53</f>
        <v>47.5</v>
      </c>
      <c r="F51" s="590">
        <f>'ｼｰﾄNO.4（表-4）60頁'!C53/1000</f>
        <v>0.91</v>
      </c>
      <c r="G51" s="590">
        <f>'ｼｰﾄNO.4（表-4）60頁'!C53/1000/('ｼｰﾄNO.4（表-4）60頁'!H53/3600)</f>
        <v>22.90909090909091</v>
      </c>
      <c r="H51" s="219">
        <f t="shared" ref="H51" si="382">-2.71095565/G51-0.09453616*G51+0.00089493*G51^2+3.15403637</f>
        <v>1.3396464522592815</v>
      </c>
      <c r="I51" s="592">
        <v>10000</v>
      </c>
      <c r="J51" s="343">
        <f t="shared" ref="J51" si="383">C51*E51*F51*H51/1000000*I51</f>
        <v>5.21155961090167</v>
      </c>
      <c r="K51" s="219">
        <f t="shared" ref="K51" si="384">1501.20185/G51-2.40935*G51+0.02115*G51^2+174.47635</f>
        <v>195.90906333956445</v>
      </c>
      <c r="L51" s="592">
        <v>2891</v>
      </c>
      <c r="M51" s="343">
        <f t="shared" ref="M51" si="385">C51*E51*F51*K51/1000000*L51</f>
        <v>220.33329605016377</v>
      </c>
      <c r="N51" s="219">
        <f t="shared" ref="N51" si="386">-0.25063622/G51-0.00657231*G51+0.00005332*G51^2+0.29056757</f>
        <v>0.15704519892234028</v>
      </c>
      <c r="O51" s="592">
        <v>840100</v>
      </c>
      <c r="P51" s="343">
        <f t="shared" ref="P51" si="387">C51*E51*F51*N51/1000000*O51</f>
        <v>51.325496599892354</v>
      </c>
      <c r="Q51" s="219">
        <f t="shared" ref="Q51" si="388">0.093055673/G51-0.0002682273*G51+0.00000218*G51^2+0.0173678037</f>
        <v>1.6429035733051291E-2</v>
      </c>
      <c r="R51" s="592">
        <v>482200</v>
      </c>
      <c r="S51" s="343">
        <f t="shared" ref="S51" si="389">C51*E51*F51*Q51/1000000*R51</f>
        <v>3.0818875728814445</v>
      </c>
      <c r="T51" s="219">
        <f t="shared" ref="T51" si="390">0.630901162/G51-0.001006579*G51+0.000008915*G51^2+0.0072170055</f>
        <v>1.6375359886921154E-2</v>
      </c>
      <c r="U51" s="592">
        <v>160</v>
      </c>
      <c r="V51" s="343">
        <f t="shared" ref="V51" si="391">C51*E51*F51*T51*U51</f>
        <v>1019.2679008015203</v>
      </c>
      <c r="W51" s="598"/>
      <c r="X51" s="598"/>
      <c r="Y51" s="598"/>
      <c r="Z51" s="595"/>
    </row>
    <row r="52" spans="1:26" ht="15" customHeight="1">
      <c r="A52" s="604"/>
      <c r="B52" s="589"/>
      <c r="C52" s="587"/>
      <c r="D52" s="217" t="s">
        <v>66</v>
      </c>
      <c r="E52" s="344">
        <f>'ｼｰﾄNO.4（表-4）60頁'!K54</f>
        <v>2.5</v>
      </c>
      <c r="F52" s="591"/>
      <c r="G52" s="591"/>
      <c r="H52" s="218">
        <f t="shared" ref="H52" si="392">12.28697452/G51-0.05907844*G51+0.00051753*G51^2+2.69979197</f>
        <v>2.154308237381608</v>
      </c>
      <c r="I52" s="593"/>
      <c r="J52" s="345">
        <f t="shared" ref="J52" si="393">C51*E52*F51*H52/1000000*I51</f>
        <v>0.4410946116038843</v>
      </c>
      <c r="K52" s="218">
        <f t="shared" ref="K52" si="394">908.52069/G51-23.49889*G51+0.18396*G51^2+1364.81344</f>
        <v>962.67995495179059</v>
      </c>
      <c r="L52" s="593"/>
      <c r="M52" s="345">
        <f t="shared" ref="M52" si="395">C51*E52*F51*K52/1000000*L51</f>
        <v>56.9841311764512</v>
      </c>
      <c r="N52" s="218">
        <f t="shared" ref="N52" si="396">9.45345681/G51-0.14325844*G51+0.00124097*G51^2+5.98054622</f>
        <v>3.7625703620867768</v>
      </c>
      <c r="O52" s="593"/>
      <c r="P52" s="345">
        <f t="shared" ref="P52" si="397">C51*E52*F51*N52/1000000*O51</f>
        <v>64.720151520346846</v>
      </c>
      <c r="Q52" s="218">
        <f t="shared" ref="Q52" si="398">0.6037810576/G51-0.0052863845*G51+0.000423961*G51^2+0.3189943526</f>
        <v>0.44674955685638201</v>
      </c>
      <c r="R52" s="593"/>
      <c r="S52" s="345">
        <f t="shared" ref="S52" si="399">C51*E52*F51*Q52/1000000*R51</f>
        <v>4.4107784785731186</v>
      </c>
      <c r="T52" s="218">
        <f t="shared" ref="T52" si="400">0.2877659/G51-0.008903887*G51+0.000069093*G51^2+0.516185391</f>
        <v>0.3610284778462548</v>
      </c>
      <c r="U52" s="593"/>
      <c r="V52" s="345">
        <f t="shared" ref="V52" si="401">C51*E52*F51*T52*U51</f>
        <v>1182.729293424331</v>
      </c>
      <c r="W52" s="598"/>
      <c r="X52" s="598"/>
      <c r="Y52" s="598"/>
      <c r="Z52" s="595"/>
    </row>
    <row r="53" spans="1:26" ht="15" customHeight="1">
      <c r="A53" s="604"/>
      <c r="B53" s="588" t="s">
        <v>56</v>
      </c>
      <c r="C53" s="586">
        <f>'ｼｰﾄNO.3（表-3）59頁'!$F$30</f>
        <v>9</v>
      </c>
      <c r="D53" s="216" t="s">
        <v>65</v>
      </c>
      <c r="E53" s="342">
        <f>'ｼｰﾄNO.4（表-4）60頁'!K55</f>
        <v>743.84999999999991</v>
      </c>
      <c r="F53" s="590">
        <f>'ｼｰﾄNO.4（表-4）60頁'!C55/1000</f>
        <v>0.61699999999999999</v>
      </c>
      <c r="G53" s="590">
        <f>'ｼｰﾄNO.4（表-4）60頁'!C55/1000/('ｼｰﾄNO.4（表-4）60頁'!H55/3600)</f>
        <v>27.087804878048779</v>
      </c>
      <c r="H53" s="219">
        <f t="shared" ref="H53" si="402">-2.71095565/G53-0.09453616*G53+0.00089493*G53^2+3.15403637</f>
        <v>1.1498331610692509</v>
      </c>
      <c r="I53" s="592">
        <v>10000</v>
      </c>
      <c r="J53" s="343">
        <f t="shared" ref="J53" si="403">C53*E53*F53*H53/1000000*I53</f>
        <v>47.494997627711449</v>
      </c>
      <c r="K53" s="219">
        <f t="shared" ref="K53" si="404">1501.20185/G53-2.40935*G53+0.02115*G53^2+174.47635</f>
        <v>180.15098372041632</v>
      </c>
      <c r="L53" s="592">
        <v>2891</v>
      </c>
      <c r="M53" s="343">
        <f t="shared" ref="M53" si="405">C53*E53*F53*K53/1000000*L53</f>
        <v>2151.2841150752306</v>
      </c>
      <c r="N53" s="219">
        <f t="shared" ref="N53" si="406">-0.25063622/G53-0.00657231*G53+0.00005332*G53^2+0.29056757</f>
        <v>0.14240889225716619</v>
      </c>
      <c r="O53" s="592">
        <v>840100</v>
      </c>
      <c r="P53" s="343">
        <f t="shared" ref="P53" si="407">C53*E53*F53*N53/1000000*O53</f>
        <v>494.17541286146945</v>
      </c>
      <c r="Q53" s="219">
        <f t="shared" ref="Q53" si="408">0.093055673/G53-0.0002682273*G53+0.00000218*G53^2+0.0173678037</f>
        <v>1.5137022719626959E-2</v>
      </c>
      <c r="R53" s="592">
        <v>482200</v>
      </c>
      <c r="S53" s="343">
        <f t="shared" ref="S53" si="409">C53*E53*F53*Q53/1000000*R53</f>
        <v>30.149541337113515</v>
      </c>
      <c r="T53" s="219">
        <f t="shared" ref="T53" si="410">0.630901162/G53-0.001006579*G53+0.000008915*G53^2+0.0072170055</f>
        <v>9.7833305544376171E-3</v>
      </c>
      <c r="U53" s="592">
        <v>160</v>
      </c>
      <c r="V53" s="343">
        <f t="shared" ref="V53" si="411">C53*E53*F53*T53*U53</f>
        <v>6465.7625430393591</v>
      </c>
      <c r="W53" s="598"/>
      <c r="X53" s="598"/>
      <c r="Y53" s="598"/>
      <c r="Z53" s="595"/>
    </row>
    <row r="54" spans="1:26" ht="15" customHeight="1">
      <c r="A54" s="605"/>
      <c r="B54" s="589"/>
      <c r="C54" s="587"/>
      <c r="D54" s="217" t="s">
        <v>66</v>
      </c>
      <c r="E54" s="344">
        <f>'ｼｰﾄNO.4（表-4）60頁'!K56</f>
        <v>39.150000000000006</v>
      </c>
      <c r="F54" s="591"/>
      <c r="G54" s="591"/>
      <c r="H54" s="218">
        <f t="shared" ref="H54" si="412">12.28697452/G53-0.05907844*G53+0.00051753*G53^2+2.69979197</f>
        <v>1.9328219392155921</v>
      </c>
      <c r="I54" s="593"/>
      <c r="J54" s="345">
        <f t="shared" ref="J54" si="413">C53*E54*F53*H54/1000000*I53</f>
        <v>4.2019539294437278</v>
      </c>
      <c r="K54" s="218">
        <f t="shared" ref="K54" si="414">908.52069/G53-23.49889*G53+0.18396*G53^2+1364.81344</f>
        <v>896.80043250303515</v>
      </c>
      <c r="L54" s="593"/>
      <c r="M54" s="345">
        <f t="shared" ref="M54" si="415">C53*E54*F53*K54/1000000*L53</f>
        <v>563.64199131712564</v>
      </c>
      <c r="N54" s="218">
        <f t="shared" ref="N54" si="416">9.45345681/G53-0.14325844*G53+0.00124097*G53^2+5.98054622</f>
        <v>3.3595433546140332</v>
      </c>
      <c r="O54" s="593"/>
      <c r="P54" s="345">
        <f t="shared" ref="P54" si="417">C53*E54*F53*N54/1000000*O53</f>
        <v>613.57926460110696</v>
      </c>
      <c r="Q54" s="218">
        <f t="shared" ref="Q54" si="418">0.6037810576/G53-0.0052863845*G53+0.000423961*G53^2+0.3189943526</f>
        <v>0.50916860825670229</v>
      </c>
      <c r="R54" s="593"/>
      <c r="S54" s="345">
        <f t="shared" ref="S54" si="419">C53*E54*F53*Q54/1000000*R53</f>
        <v>53.376275494705276</v>
      </c>
      <c r="T54" s="218">
        <f t="shared" ref="T54" si="420">0.2877659/G53-0.008903887*G53+0.000069093*G53^2+0.516185391</f>
        <v>0.33631901740188841</v>
      </c>
      <c r="U54" s="593"/>
      <c r="V54" s="345">
        <f t="shared" ref="V54" si="421">C53*E54*F53*T54*U53</f>
        <v>11698.51801075515</v>
      </c>
      <c r="W54" s="599"/>
      <c r="X54" s="599"/>
      <c r="Y54" s="599"/>
      <c r="Z54" s="595"/>
    </row>
    <row r="55" spans="1:26" ht="15" customHeight="1">
      <c r="A55" s="603" t="s">
        <v>914</v>
      </c>
      <c r="B55" s="588" t="s">
        <v>45</v>
      </c>
      <c r="C55" s="586">
        <f>'ｼｰﾄNO.3（表-3）59頁'!$F$30</f>
        <v>9</v>
      </c>
      <c r="D55" s="216" t="s">
        <v>65</v>
      </c>
      <c r="E55" s="342">
        <f>'ｼｰﾄNO.4（表-4）60頁'!K60</f>
        <v>772.34999999999991</v>
      </c>
      <c r="F55" s="590">
        <f>'ｼｰﾄNO.4（表-4）60頁'!C60/1000</f>
        <v>1.054</v>
      </c>
      <c r="G55" s="590">
        <f>'ｼｰﾄNO.4（表-4）60頁'!C60/1000/('ｼｰﾄNO.4（表-4）60頁'!H60/3600)</f>
        <v>29.643750000000001</v>
      </c>
      <c r="H55" s="219">
        <f t="shared" ref="H55" si="422">-2.71095565/G55-0.09453616*G55+0.00089493*G55^2+3.15403637</f>
        <v>1.0466003564631281</v>
      </c>
      <c r="I55" s="592">
        <v>10000</v>
      </c>
      <c r="J55" s="343">
        <f>C55*E55*F55*H55/1000000*I55</f>
        <v>76.679301754914221</v>
      </c>
      <c r="K55" s="219">
        <f>1501.20185/G55-2.40935*G55+0.02115*G55^2+174.47635</f>
        <v>172.28121255158959</v>
      </c>
      <c r="L55" s="592">
        <v>2891</v>
      </c>
      <c r="M55" s="343">
        <f>C55*E55*F55*K55/1000000*L55</f>
        <v>3649.0791427542326</v>
      </c>
      <c r="N55" s="219">
        <f t="shared" ref="N55" si="423">-0.25063622/G55-0.00657231*G55+0.00005332*G55^2+0.29056757</f>
        <v>0.13413976437914132</v>
      </c>
      <c r="O55" s="592">
        <v>840100</v>
      </c>
      <c r="P55" s="343">
        <f>C55*E55*F55*N55/1000000*O55</f>
        <v>825.63062738522092</v>
      </c>
      <c r="Q55" s="219">
        <f t="shared" ref="Q55" si="424">0.093055673/G55-0.0002682273*G55+0.00000218*G55^2+0.0173678037</f>
        <v>1.4471352818974903E-2</v>
      </c>
      <c r="R55" s="592">
        <v>482200</v>
      </c>
      <c r="S55" s="343">
        <f>C55*E55*F55*Q55/1000000*R55</f>
        <v>51.12503392653209</v>
      </c>
      <c r="T55" s="219">
        <f>0.630901162/G55-0.001006579*G55+0.000008915*G55^2+0.0072170055</f>
        <v>6.4950742292543343E-3</v>
      </c>
      <c r="U55" s="592">
        <v>160</v>
      </c>
      <c r="V55" s="343">
        <f>C55*E55*F55*T55*U55</f>
        <v>7613.7983889648076</v>
      </c>
      <c r="W55" s="597">
        <f>SUM(J55:J78)+SUM(M55:M78)+SUM(P55:P78)+SUM(S55:S78)+SUM(V55:V78)</f>
        <v>140897.94643641738</v>
      </c>
      <c r="X55" s="597">
        <f>'ｼｰﾄNO.3（表-3）59頁'!F34</f>
        <v>38</v>
      </c>
      <c r="Y55" s="597">
        <f>W55*X55</f>
        <v>5354121.9645838607</v>
      </c>
      <c r="Z55" s="595"/>
    </row>
    <row r="56" spans="1:26" ht="15" customHeight="1">
      <c r="A56" s="604"/>
      <c r="B56" s="589"/>
      <c r="C56" s="587"/>
      <c r="D56" s="217" t="s">
        <v>66</v>
      </c>
      <c r="E56" s="344">
        <f>'ｼｰﾄNO.4（表-4）60頁'!K61</f>
        <v>40.650000000000006</v>
      </c>
      <c r="F56" s="591"/>
      <c r="G56" s="591"/>
      <c r="H56" s="218">
        <f t="shared" ref="H56" si="425">12.28697452/G55-0.05907844*G55+0.00051753*G55^2+2.69979197</f>
        <v>1.8177538030136606</v>
      </c>
      <c r="I56" s="593"/>
      <c r="J56" s="345">
        <f>C55*E56*F55*H56/1000000*I55</f>
        <v>7.0093659118950544</v>
      </c>
      <c r="K56" s="218">
        <f>908.52069/G55-23.49889*G55+0.18396*G55^2+1364.81344</f>
        <v>860.52138928887075</v>
      </c>
      <c r="L56" s="593"/>
      <c r="M56" s="345">
        <f>C55*E56*F55*K56/1000000*L55</f>
        <v>959.29776275628376</v>
      </c>
      <c r="N56" s="218">
        <f t="shared" ref="N56" si="426">9.45345681/G55-0.14325844*G55+0.00124097*G55^2+5.98054622</f>
        <v>3.1432357925564749</v>
      </c>
      <c r="O56" s="593"/>
      <c r="P56" s="345">
        <f>C55*E56*F55*N56/1000000*O55</f>
        <v>1018.2434290554703</v>
      </c>
      <c r="Q56" s="218">
        <f t="shared" ref="Q56" si="427">0.6037810576/G55-0.0052863845*G55+0.000423961*G55^2+0.3189943526</f>
        <v>0.55521053643067186</v>
      </c>
      <c r="R56" s="593"/>
      <c r="S56" s="345">
        <f>C55*E56*F55*Q56/1000000*R55</f>
        <v>103.235383532017</v>
      </c>
      <c r="T56" s="218">
        <f>0.2877659/G55-0.008903887*G55+0.000069093*G55^2+0.516185391</f>
        <v>0.32266386964951294</v>
      </c>
      <c r="U56" s="593"/>
      <c r="V56" s="345">
        <f>C55*E56*F55*T56*U55</f>
        <v>19907.374696589301</v>
      </c>
      <c r="W56" s="598"/>
      <c r="X56" s="598"/>
      <c r="Y56" s="598"/>
      <c r="Z56" s="595"/>
    </row>
    <row r="57" spans="1:26" ht="15" customHeight="1">
      <c r="A57" s="604"/>
      <c r="B57" s="588" t="s">
        <v>46</v>
      </c>
      <c r="C57" s="586">
        <f>'ｼｰﾄNO.3（表-3）59頁'!$F$30</f>
        <v>9</v>
      </c>
      <c r="D57" s="216" t="s">
        <v>65</v>
      </c>
      <c r="E57" s="342">
        <f>'ｼｰﾄNO.4（表-4）60頁'!K62</f>
        <v>148.19999999999999</v>
      </c>
      <c r="F57" s="590">
        <f>'ｼｰﾄNO.4（表-4）60頁'!C62/1000</f>
        <v>0.76100000000000001</v>
      </c>
      <c r="G57" s="590">
        <f>'ｼｰﾄNO.4（表-4）60頁'!C62/1000/('ｼｰﾄNO.4（表-4）60頁'!H62/3600)</f>
        <v>27.955102040816328</v>
      </c>
      <c r="H57" s="219">
        <f t="shared" ref="H57" si="428">-2.71095565/G57-0.09453616*G57+0.00089493*G57^2+3.15403637</f>
        <v>1.1136698404962537</v>
      </c>
      <c r="I57" s="592">
        <v>10000</v>
      </c>
      <c r="J57" s="343">
        <f t="shared" ref="J57" si="429">C57*E57*F57*H57/1000000*I57</f>
        <v>11.303991661062202</v>
      </c>
      <c r="K57" s="219">
        <f t="shared" ref="K57" si="430">1501.20185/G57-2.40935*G57+0.02115*G57^2+174.47635</f>
        <v>177.35165078551574</v>
      </c>
      <c r="L57" s="592">
        <v>2891</v>
      </c>
      <c r="M57" s="343">
        <f t="shared" ref="M57" si="431">C57*E57*F57*K57/1000000*L57</f>
        <v>520.42565413220871</v>
      </c>
      <c r="N57" s="219">
        <f t="shared" ref="N57" si="432">-0.25063622/G57-0.00657231*G57+0.00005332*G57^2+0.29056757</f>
        <v>0.13954122906549798</v>
      </c>
      <c r="O57" s="592">
        <v>840100</v>
      </c>
      <c r="P57" s="343">
        <f t="shared" ref="P57" si="433">C57*E57*F57*N57/1000000*O57</f>
        <v>118.98957091918027</v>
      </c>
      <c r="Q57" s="219">
        <f t="shared" ref="Q57" si="434">0.093055673/G57-0.0002682273*G57+0.00000218*G57^2+0.0173678037</f>
        <v>1.4901879955931608E-2</v>
      </c>
      <c r="R57" s="592">
        <v>482200</v>
      </c>
      <c r="S57" s="343">
        <f t="shared" ref="S57" si="435">C57*E57*F57*Q57/1000000*R57</f>
        <v>7.2936284604374961</v>
      </c>
      <c r="T57" s="219">
        <f t="shared" ref="T57" si="436">0.630901162/G57-0.001006579*G57+0.000008915*G57^2+0.0072170055</f>
        <v>8.6133226666943175E-3</v>
      </c>
      <c r="U57" s="592">
        <v>160</v>
      </c>
      <c r="V57" s="343">
        <f t="shared" ref="V57" si="437">C57*E57*F57*T57*U57</f>
        <v>1398.8336443406185</v>
      </c>
      <c r="W57" s="598"/>
      <c r="X57" s="598"/>
      <c r="Y57" s="598"/>
      <c r="Z57" s="595"/>
    </row>
    <row r="58" spans="1:26" ht="15" customHeight="1">
      <c r="A58" s="604"/>
      <c r="B58" s="589"/>
      <c r="C58" s="587"/>
      <c r="D58" s="217" t="s">
        <v>66</v>
      </c>
      <c r="E58" s="344">
        <f>'ｼｰﾄNO.4（表-4）60頁'!K63</f>
        <v>7.8000000000000007</v>
      </c>
      <c r="F58" s="591"/>
      <c r="G58" s="591"/>
      <c r="H58" s="218">
        <f t="shared" ref="H58" si="438">12.28697452/G57-0.05907844*G57+0.00051753*G57^2+2.69979197</f>
        <v>1.8922167930969032</v>
      </c>
      <c r="I58" s="593"/>
      <c r="J58" s="345">
        <f t="shared" ref="J58" si="439">C57*E58*F57*H58/1000000*I57</f>
        <v>1.0108638396418139</v>
      </c>
      <c r="K58" s="218">
        <f t="shared" ref="K58" si="440">908.52069/G57-23.49889*G57+0.18396*G57^2+1364.81344</f>
        <v>884.1613350837506</v>
      </c>
      <c r="L58" s="593"/>
      <c r="M58" s="345">
        <f t="shared" ref="M58" si="441">C57*E58*F57*K58/1000000*L57</f>
        <v>136.55304206474631</v>
      </c>
      <c r="N58" s="218">
        <f t="shared" ref="N58" si="442">9.45345681/G57-0.14325844*G57+0.00124097*G57^2+5.98054622</f>
        <v>3.2837104457456512</v>
      </c>
      <c r="O58" s="593"/>
      <c r="P58" s="345">
        <f t="shared" ref="P58" si="443">C57*E58*F57*N58/1000000*O57</f>
        <v>147.37289269037666</v>
      </c>
      <c r="Q58" s="218">
        <f t="shared" ref="Q58" si="444">0.6037810576/G57-0.0052863845*G57+0.000423961*G57^2+0.3189943526</f>
        <v>0.52413149597119757</v>
      </c>
      <c r="R58" s="593"/>
      <c r="S58" s="345">
        <f t="shared" ref="S58" si="445">C57*E58*F57*Q58/1000000*R57</f>
        <v>13.501724216683765</v>
      </c>
      <c r="T58" s="218">
        <f t="shared" ref="T58" si="446">0.2877659/G57-0.008903887*G57+0.000069093*G57^2+0.516185391</f>
        <v>0.33156551285231084</v>
      </c>
      <c r="U58" s="593"/>
      <c r="V58" s="345">
        <f t="shared" ref="V58" si="447">C57*E58*F57*T58*U57</f>
        <v>2834.0734625117957</v>
      </c>
      <c r="W58" s="598"/>
      <c r="X58" s="598"/>
      <c r="Y58" s="598"/>
      <c r="Z58" s="595"/>
    </row>
    <row r="59" spans="1:26" ht="15" customHeight="1">
      <c r="A59" s="604"/>
      <c r="B59" s="588" t="s">
        <v>47</v>
      </c>
      <c r="C59" s="586">
        <f>'ｼｰﾄNO.3（表-3）59頁'!$F$30</f>
        <v>9</v>
      </c>
      <c r="D59" s="216" t="s">
        <v>65</v>
      </c>
      <c r="E59" s="342">
        <f>'ｼｰﾄNO.4（表-4）60頁'!K64</f>
        <v>41.8</v>
      </c>
      <c r="F59" s="590">
        <f>'ｼｰﾄNO.4（表-4）60頁'!C64/1000</f>
        <v>0.82399999999999995</v>
      </c>
      <c r="G59" s="590">
        <f>'ｼｰﾄNO.4（表-4）60頁'!C64/1000/('ｼｰﾄNO.4（表-4）60頁'!H64/3600)</f>
        <v>24.927731092436975</v>
      </c>
      <c r="H59" s="219">
        <f t="shared" ref="H59" si="448">-2.71095565/G59-0.09453616*G59+0.00089493*G59^2+3.15403637</f>
        <v>1.2448139350987362</v>
      </c>
      <c r="I59" s="592">
        <v>10000</v>
      </c>
      <c r="J59" s="343">
        <f t="shared" ref="J59" si="449">C59*E59*F59*H59/1000000*I59</f>
        <v>3.8587837796453504</v>
      </c>
      <c r="K59" s="219">
        <f t="shared" ref="K59" si="450">1501.20185/G59-2.40935*G59+0.02115*G59^2+174.47635</f>
        <v>187.78131877798023</v>
      </c>
      <c r="L59" s="592">
        <v>2891</v>
      </c>
      <c r="M59" s="343">
        <f t="shared" ref="M59" si="451">C59*E59*F59*K59/1000000*L59</f>
        <v>168.28541549313667</v>
      </c>
      <c r="N59" s="219">
        <f t="shared" ref="N59" si="452">-0.25063622/G59-0.00657231*G59+0.00005332*G59^2+0.29056757</f>
        <v>0.14981288928616346</v>
      </c>
      <c r="O59" s="592">
        <v>840100</v>
      </c>
      <c r="P59" s="343">
        <f t="shared" ref="P59" si="453">C59*E59*F59*N59/1000000*O59</f>
        <v>39.014510962231988</v>
      </c>
      <c r="Q59" s="219">
        <f t="shared" ref="Q59" si="454">0.093055673/G59-0.0002682273*G59+0.00000218*G59^2+0.0173678037</f>
        <v>1.5769157934508494E-2</v>
      </c>
      <c r="R59" s="592">
        <v>482200</v>
      </c>
      <c r="S59" s="343">
        <f t="shared" ref="S59" si="455">C59*E59*F59*Q59/1000000*R59</f>
        <v>2.3571201028210909</v>
      </c>
      <c r="T59" s="219">
        <f t="shared" ref="T59" si="456">0.630901162/G59-0.001006579*G59+0.000008915*G59^2+0.0072170055</f>
        <v>1.2974191796488203E-2</v>
      </c>
      <c r="U59" s="592">
        <v>160</v>
      </c>
      <c r="V59" s="343">
        <f t="shared" ref="V59" si="457">C59*E59*F59*T59*U59</f>
        <v>643.49666335411553</v>
      </c>
      <c r="W59" s="598"/>
      <c r="X59" s="598"/>
      <c r="Y59" s="598"/>
      <c r="Z59" s="595"/>
    </row>
    <row r="60" spans="1:26" ht="15" customHeight="1">
      <c r="A60" s="604"/>
      <c r="B60" s="589"/>
      <c r="C60" s="587"/>
      <c r="D60" s="217" t="s">
        <v>66</v>
      </c>
      <c r="E60" s="344">
        <f>'ｼｰﾄNO.4（表-4）60頁'!K65</f>
        <v>2.2000000000000002</v>
      </c>
      <c r="F60" s="591"/>
      <c r="G60" s="591"/>
      <c r="H60" s="218">
        <f t="shared" ref="H60" si="458">12.28697452/G59-0.05907844*G59+0.00051753*G59^2+2.69979197</f>
        <v>2.0415932365843594</v>
      </c>
      <c r="I60" s="593"/>
      <c r="J60" s="345">
        <f t="shared" ref="J60" si="459">C59*E60*F59*H60/1000000*I59</f>
        <v>0.33309001973521141</v>
      </c>
      <c r="K60" s="218">
        <f t="shared" ref="K60" si="460">908.52069/G59-23.49889*G59+0.18396*G59^2+1364.81344</f>
        <v>929.79684512079211</v>
      </c>
      <c r="L60" s="593"/>
      <c r="M60" s="345">
        <f t="shared" ref="M60" si="461">C59*E60*F59*K60/1000000*L59</f>
        <v>43.855953920405135</v>
      </c>
      <c r="N60" s="218">
        <f t="shared" ref="N60" si="462">9.45345681/G59-0.14325844*G59+0.00124097*G59^2+5.98054622</f>
        <v>3.5598014520360097</v>
      </c>
      <c r="O60" s="593"/>
      <c r="P60" s="345">
        <f t="shared" ref="P60" si="463">C59*E60*F59*N60/1000000*O59</f>
        <v>48.792060913481663</v>
      </c>
      <c r="Q60" s="218">
        <f t="shared" ref="Q60" si="464">0.6037810576/G59-0.0052863845*G59+0.000423961*G59^2+0.3189943526</f>
        <v>0.47488392074238339</v>
      </c>
      <c r="R60" s="593"/>
      <c r="S60" s="345">
        <f t="shared" ref="S60" si="465">C59*E60*F59*Q60/1000000*R59</f>
        <v>3.736001766490276</v>
      </c>
      <c r="T60" s="218">
        <f t="shared" ref="T60" si="466">0.2877659/G59-0.008903887*G59+0.000069093*G59^2+0.516185391</f>
        <v>0.34870951917435056</v>
      </c>
      <c r="U60" s="593"/>
      <c r="V60" s="345">
        <f t="shared" ref="V60" si="467">C59*E60*F59*T60*U59</f>
        <v>910.2824875573383</v>
      </c>
      <c r="W60" s="598"/>
      <c r="X60" s="598"/>
      <c r="Y60" s="598"/>
      <c r="Z60" s="595"/>
    </row>
    <row r="61" spans="1:26" ht="15" customHeight="1">
      <c r="A61" s="604"/>
      <c r="B61" s="588" t="s">
        <v>48</v>
      </c>
      <c r="C61" s="586">
        <f>'ｼｰﾄNO.3（表-3）59頁'!$F$30</f>
        <v>9</v>
      </c>
      <c r="D61" s="216" t="s">
        <v>65</v>
      </c>
      <c r="E61" s="342">
        <f>'ｼｰﾄNO.4（表-4）60頁'!K66</f>
        <v>753.34999999999991</v>
      </c>
      <c r="F61" s="590">
        <f>'ｼｰﾄNO.4（表-4）60頁'!C66/1000</f>
        <v>1.054</v>
      </c>
      <c r="G61" s="590">
        <f>'ｼｰﾄNO.4（表-4）60頁'!C66/1000/('ｼｰﾄNO.4（表-4）60頁'!H66/3600)</f>
        <v>30.6</v>
      </c>
      <c r="H61" s="219">
        <f t="shared" ref="H61" si="468">-2.71095565/G61-0.09453616*G61+0.00089493*G61^2+3.15403637</f>
        <v>1.0106132069045755</v>
      </c>
      <c r="I61" s="592">
        <v>10000</v>
      </c>
      <c r="J61" s="343">
        <f t="shared" ref="J61" si="469">C61*E61*F61*H61/1000000*I61</f>
        <v>72.221230280729358</v>
      </c>
      <c r="K61" s="219">
        <f t="shared" ref="K61" si="470">1501.20185/G61-2.40935*G61+0.02115*G61^2+174.47635</f>
        <v>169.61313798692811</v>
      </c>
      <c r="L61" s="592">
        <v>2891</v>
      </c>
      <c r="M61" s="343">
        <f t="shared" ref="M61" si="471">C61*E61*F61*K61/1000000*L61</f>
        <v>3504.1887711767467</v>
      </c>
      <c r="N61" s="219">
        <f t="shared" ref="N61" si="472">-0.25063622/G61-0.00657231*G61+0.00005332*G61^2+0.29056757</f>
        <v>0.13119087305620916</v>
      </c>
      <c r="O61" s="592">
        <v>840100</v>
      </c>
      <c r="P61" s="343">
        <f t="shared" ref="P61" si="473">C61*E61*F61*N61/1000000*O61</f>
        <v>787.61598160113681</v>
      </c>
      <c r="Q61" s="219">
        <f t="shared" ref="Q61" si="474">0.093055673/G61-0.0002682273*G61+0.00000218*G61^2+0.0173678037</f>
        <v>1.4242348185359476E-2</v>
      </c>
      <c r="R61" s="592">
        <v>482200</v>
      </c>
      <c r="S61" s="343">
        <f t="shared" ref="S61" si="475">C61*E61*F61*Q61/1000000*R61</f>
        <v>49.078210364257536</v>
      </c>
      <c r="T61" s="219">
        <f t="shared" ref="T61" si="476">0.630901162/G61-0.001006579*G61+0.000008915*G61^2+0.0072170055</f>
        <v>5.3810225326797346E-3</v>
      </c>
      <c r="U61" s="592">
        <v>160</v>
      </c>
      <c r="V61" s="343">
        <f t="shared" ref="V61" si="477">C61*E61*F61*T61*U61</f>
        <v>6152.6853569433151</v>
      </c>
      <c r="W61" s="598"/>
      <c r="X61" s="598"/>
      <c r="Y61" s="598"/>
      <c r="Z61" s="595"/>
    </row>
    <row r="62" spans="1:26" ht="15" customHeight="1">
      <c r="A62" s="604"/>
      <c r="B62" s="589"/>
      <c r="C62" s="587"/>
      <c r="D62" s="217" t="s">
        <v>66</v>
      </c>
      <c r="E62" s="344">
        <f>'ｼｰﾄNO.4（表-4）60頁'!K67</f>
        <v>39.650000000000006</v>
      </c>
      <c r="F62" s="591"/>
      <c r="G62" s="591"/>
      <c r="H62" s="218">
        <f t="shared" ref="H62" si="478">12.28697452/G61-0.05907844*G61+0.00051753*G61^2+2.69979197</f>
        <v>1.7781212118326797</v>
      </c>
      <c r="I62" s="593"/>
      <c r="J62" s="345">
        <f t="shared" ref="J62" si="479">C61*E62*F61*H62/1000000*I61</f>
        <v>6.6878677238238646</v>
      </c>
      <c r="K62" s="218">
        <f t="shared" ref="K62" si="480">908.52069/G61-23.49889*G61+0.18396*G61^2+1364.81344</f>
        <v>847.69041022745091</v>
      </c>
      <c r="L62" s="593"/>
      <c r="M62" s="345">
        <f t="shared" ref="M62" si="481">C61*E62*F61*K62/1000000*L61</f>
        <v>921.74687465362149</v>
      </c>
      <c r="N62" s="218">
        <f t="shared" ref="N62" si="482">9.45345681/G61-0.14325844*G61+0.00124097*G61^2+5.98054622</f>
        <v>3.0677691222588237</v>
      </c>
      <c r="O62" s="593"/>
      <c r="P62" s="345">
        <f t="shared" ref="P62" si="483">C61*E62*F61*N62/1000000*O61</f>
        <v>969.3485579106931</v>
      </c>
      <c r="Q62" s="218">
        <f t="shared" ref="Q62" si="484">0.6037810576/G61-0.0052863845*G61+0.000423961*G61^2+0.3189943526</f>
        <v>0.57394251597111112</v>
      </c>
      <c r="R62" s="593"/>
      <c r="S62" s="345">
        <f t="shared" ref="S62" si="485">C61*E62*F61*Q62/1000000*R61</f>
        <v>104.09309346591348</v>
      </c>
      <c r="T62" s="218">
        <f t="shared" ref="T62" si="486">0.2877659/G61-0.008903887*G61+0.000069093*G61^2+0.516185391</f>
        <v>0.31782648465908503</v>
      </c>
      <c r="U62" s="593"/>
      <c r="V62" s="345">
        <f t="shared" ref="V62" si="487">C61*E62*F61*T62*U61</f>
        <v>19126.538500372259</v>
      </c>
      <c r="W62" s="598"/>
      <c r="X62" s="598"/>
      <c r="Y62" s="598"/>
      <c r="Z62" s="595"/>
    </row>
    <row r="63" spans="1:26" ht="15" customHeight="1">
      <c r="A63" s="604"/>
      <c r="B63" s="588" t="s">
        <v>49</v>
      </c>
      <c r="C63" s="586">
        <f>'ｼｰﾄNO.3（表-3）59頁'!$F$30</f>
        <v>9</v>
      </c>
      <c r="D63" s="216" t="s">
        <v>65</v>
      </c>
      <c r="E63" s="342">
        <f>'ｼｰﾄNO.4（表-4）60頁'!K68</f>
        <v>39.9</v>
      </c>
      <c r="F63" s="590">
        <f>'ｼｰﾄNO.4（表-4）60頁'!C68/1000</f>
        <v>0.84799999999999998</v>
      </c>
      <c r="G63" s="590">
        <f>'ｼｰﾄNO.4（表-4）60頁'!C68/1000/('ｼｰﾄNO.4（表-4）60頁'!H68/3600)</f>
        <v>22.613333333333333</v>
      </c>
      <c r="H63" s="219">
        <f t="shared" ref="H63" si="488">-2.71095565/G63-0.09453616*G63+0.00089493*G63^2+3.15403637</f>
        <v>1.3540095598927391</v>
      </c>
      <c r="I63" s="592">
        <v>10000</v>
      </c>
      <c r="J63" s="343">
        <f t="shared" ref="J63" si="489">C63*E63*F63*H63/1000000*I63</f>
        <v>4.1231865834794519</v>
      </c>
      <c r="K63" s="219">
        <f t="shared" ref="K63" si="490">1501.20185/G63-2.40935*G63+0.02115*G63^2+174.47635</f>
        <v>197.19393451102201</v>
      </c>
      <c r="L63" s="592">
        <v>2891</v>
      </c>
      <c r="M63" s="343">
        <f t="shared" ref="M63" si="491">C63*E63*F63*K63/1000000*L63</f>
        <v>173.60127136519699</v>
      </c>
      <c r="N63" s="219">
        <f t="shared" ref="N63" si="492">-0.25063622/G63-0.00657231*G63+0.00005332*G63^2+0.29056757</f>
        <v>0.15812804080870232</v>
      </c>
      <c r="O63" s="592">
        <v>840100</v>
      </c>
      <c r="P63" s="343">
        <f t="shared" ref="P63" si="493">C63*E63*F63*N63/1000000*O63</f>
        <v>40.453037045459503</v>
      </c>
      <c r="Q63" s="219">
        <f t="shared" ref="Q63" si="494">0.093055673/G63-0.0002682273*G63+0.00000218*G63^2+0.0173678037</f>
        <v>1.6532141236016248E-2</v>
      </c>
      <c r="R63" s="592">
        <v>482200</v>
      </c>
      <c r="S63" s="343">
        <f t="shared" ref="S63" si="495">C63*E63*F63*Q63/1000000*R63</f>
        <v>2.4275465706850095</v>
      </c>
      <c r="T63" s="219">
        <f t="shared" ref="T63" si="496">0.630901162/G63-0.001006579*G63+0.000008915*G63^2+0.0072170055</f>
        <v>1.6913219530124743E-2</v>
      </c>
      <c r="U63" s="592">
        <v>160</v>
      </c>
      <c r="V63" s="343">
        <f t="shared" ref="V63" si="497">C63*E63*F63*T63*U63</f>
        <v>824.05751824177446</v>
      </c>
      <c r="W63" s="598"/>
      <c r="X63" s="598"/>
      <c r="Y63" s="598"/>
      <c r="Z63" s="595"/>
    </row>
    <row r="64" spans="1:26" ht="15" customHeight="1">
      <c r="A64" s="604"/>
      <c r="B64" s="589"/>
      <c r="C64" s="587"/>
      <c r="D64" s="217" t="s">
        <v>66</v>
      </c>
      <c r="E64" s="344">
        <f>'ｼｰﾄNO.4（表-4）60頁'!K69</f>
        <v>2.1</v>
      </c>
      <c r="F64" s="591"/>
      <c r="G64" s="591"/>
      <c r="H64" s="218">
        <f t="shared" ref="H64" si="498">12.28697452/G63-0.05907844*G63+0.00051753*G63^2+2.69979197</f>
        <v>2.1718280043001132</v>
      </c>
      <c r="I64" s="593"/>
      <c r="J64" s="345">
        <f t="shared" ref="J64" si="499">C63*E64*F63*H64/1000000*I63</f>
        <v>0.34808321790518776</v>
      </c>
      <c r="K64" s="218">
        <f t="shared" ref="K64" si="500">908.52069/G63-23.49889*G63+0.18396*G63^2+1364.81344</f>
        <v>967.67184401344969</v>
      </c>
      <c r="L64" s="593"/>
      <c r="M64" s="345">
        <f t="shared" ref="M64" si="501">C63*E64*F63*K64/1000000*L63</f>
        <v>44.8367218856745</v>
      </c>
      <c r="N64" s="218">
        <f t="shared" ref="N64" si="502">9.45345681/G63-0.14325844*G63+0.00124097*G63^2+5.98054622</f>
        <v>3.7936292257149553</v>
      </c>
      <c r="O64" s="593"/>
      <c r="P64" s="345">
        <f t="shared" ref="P64" si="503">C63*E64*F63*N64/1000000*O63</f>
        <v>51.079133759590775</v>
      </c>
      <c r="Q64" s="218">
        <f t="shared" ref="Q64" si="504">0.6037810576/G63-0.0052863845*G63+0.000423961*G63^2+0.3189943526</f>
        <v>0.4429497043225048</v>
      </c>
      <c r="R64" s="593"/>
      <c r="S64" s="345">
        <f t="shared" ref="S64" si="505">C63*E64*F63*Q64/1000000*R63</f>
        <v>3.4232552162389305</v>
      </c>
      <c r="T64" s="218">
        <f t="shared" ref="T64" si="506">0.2877659/G63-0.008903887*G63+0.000069093*G63^2+0.516185391</f>
        <v>0.3628959160749422</v>
      </c>
      <c r="U64" s="593"/>
      <c r="V64" s="345">
        <f t="shared" ref="V64" si="507">C63*E64*F63*T64*U63</f>
        <v>930.59286817861016</v>
      </c>
      <c r="W64" s="598"/>
      <c r="X64" s="598"/>
      <c r="Y64" s="598"/>
      <c r="Z64" s="595"/>
    </row>
    <row r="65" spans="1:26" ht="15" customHeight="1">
      <c r="A65" s="604"/>
      <c r="B65" s="588" t="s">
        <v>50</v>
      </c>
      <c r="C65" s="586">
        <f>'ｼｰﾄNO.3（表-3）59頁'!$F$30</f>
        <v>9</v>
      </c>
      <c r="D65" s="216" t="s">
        <v>65</v>
      </c>
      <c r="E65" s="342">
        <f>'ｼｰﾄNO.4（表-4）60頁'!K70</f>
        <v>147.25</v>
      </c>
      <c r="F65" s="590">
        <f>'ｼｰﾄNO.4（表-4）60頁'!C70/1000</f>
        <v>0.91</v>
      </c>
      <c r="G65" s="590">
        <f>'ｼｰﾄNO.4（表-4）60頁'!C70/1000/('ｼｰﾄNO.4（表-4）60頁'!H70/3600)</f>
        <v>30.055045871559635</v>
      </c>
      <c r="H65" s="219">
        <f t="shared" ref="H65" si="508">-2.71095565/G65-0.09453616*G65+0.00089493*G65^2+3.15403637</f>
        <v>1.030943504144429</v>
      </c>
      <c r="I65" s="592">
        <v>10000</v>
      </c>
      <c r="J65" s="343">
        <f t="shared" ref="J65" si="509">C65*E65*F65*H65/1000000*I65</f>
        <v>12.432946697693382</v>
      </c>
      <c r="K65" s="219">
        <f t="shared" ref="K65" si="510">1501.20185/G65-2.40935*G65+0.02115*G65^2+174.47635</f>
        <v>171.11655572795735</v>
      </c>
      <c r="L65" s="592">
        <v>2891</v>
      </c>
      <c r="M65" s="343">
        <f t="shared" ref="M65" si="511">C65*E65*F65*K65/1000000*L65</f>
        <v>596.59461220292803</v>
      </c>
      <c r="N65" s="219">
        <f t="shared" ref="N65" si="512">-0.25063622/G65-0.00657231*G65+0.00005332*G65^2+0.29056757</f>
        <v>0.13286151647220723</v>
      </c>
      <c r="O65" s="592">
        <v>840100</v>
      </c>
      <c r="P65" s="343">
        <f t="shared" ref="P65" si="513">C65*E65*F65*N65/1000000*O65</f>
        <v>134.60754236429162</v>
      </c>
      <c r="Q65" s="219">
        <f t="shared" ref="Q65" si="514">0.093055673/G65-0.0002682273*G65+0.00000218*G65^2+0.0173678037</f>
        <v>1.4371601212148963E-2</v>
      </c>
      <c r="R65" s="592">
        <v>482200</v>
      </c>
      <c r="S65" s="343">
        <f t="shared" ref="S65" si="515">C65*E65*F65*Q65/1000000*R65</f>
        <v>8.3574073173375147</v>
      </c>
      <c r="T65" s="219">
        <f t="shared" ref="T65" si="516">0.630901162/G65-0.001006579*G65+0.000008915*G65^2+0.0072170055</f>
        <v>6.0087207101030028E-3</v>
      </c>
      <c r="U65" s="592">
        <v>160</v>
      </c>
      <c r="V65" s="343">
        <f t="shared" ref="V65" si="517">C65*E65*F65*T65*U65</f>
        <v>1159.4211168269189</v>
      </c>
      <c r="W65" s="598"/>
      <c r="X65" s="598"/>
      <c r="Y65" s="598"/>
      <c r="Z65" s="595"/>
    </row>
    <row r="66" spans="1:26" ht="15" customHeight="1">
      <c r="A66" s="604"/>
      <c r="B66" s="589"/>
      <c r="C66" s="587"/>
      <c r="D66" s="217" t="s">
        <v>66</v>
      </c>
      <c r="E66" s="344">
        <f>'ｼｰﾄNO.4（表-4）60頁'!K71</f>
        <v>7.75</v>
      </c>
      <c r="F66" s="591"/>
      <c r="G66" s="591"/>
      <c r="H66" s="218">
        <f t="shared" ref="H66" si="518">12.28697452/G65-0.05907844*G65+0.00051753*G65^2+2.69979197</f>
        <v>1.8004902841038075</v>
      </c>
      <c r="I66" s="593"/>
      <c r="J66" s="345">
        <f t="shared" ref="J66" si="519">C65*E66*F65*H66/1000000*I65</f>
        <v>1.1428161955777894</v>
      </c>
      <c r="K66" s="218">
        <f t="shared" ref="K66" si="520">908.52069/G65-23.49889*G65+0.18396*G65^2+1364.81344</f>
        <v>854.95391259522842</v>
      </c>
      <c r="L66" s="593"/>
      <c r="M66" s="345">
        <f t="shared" ref="M66" si="521">C65*E66*F65*K66/1000000*L65</f>
        <v>156.88318586992705</v>
      </c>
      <c r="N66" s="218">
        <f t="shared" ref="N66" si="522">9.45345681/G65-0.14325844*G65+0.00124097*G65^2+5.98054622</f>
        <v>3.11042070390894</v>
      </c>
      <c r="O66" s="593"/>
      <c r="P66" s="345">
        <f t="shared" ref="P66" si="523">C65*E66*F65*N66/1000000*O65</f>
        <v>165.85773224605546</v>
      </c>
      <c r="Q66" s="218">
        <f t="shared" ref="Q66" si="524">0.6037810576/G65-0.0052863845*G65+0.000423961*G65^2+0.3189943526</f>
        <v>0.56316742112801155</v>
      </c>
      <c r="R66" s="593"/>
      <c r="S66" s="345">
        <f t="shared" ref="S66" si="525">C65*E66*F65*Q66/1000000*R65</f>
        <v>17.236549603125507</v>
      </c>
      <c r="T66" s="218">
        <f t="shared" ref="T66" si="526">0.2877659/G65-0.008903887*G65+0.000069093*G65^2+0.516185391</f>
        <v>0.32056539374004506</v>
      </c>
      <c r="U66" s="593"/>
      <c r="V66" s="345">
        <f t="shared" ref="V66" si="527">C65*E66*F65*T66*U65</f>
        <v>3255.5339126664016</v>
      </c>
      <c r="W66" s="598"/>
      <c r="X66" s="598"/>
      <c r="Y66" s="598"/>
      <c r="Z66" s="595"/>
    </row>
    <row r="67" spans="1:26" ht="15" customHeight="1">
      <c r="A67" s="604"/>
      <c r="B67" s="588" t="s">
        <v>51</v>
      </c>
      <c r="C67" s="586">
        <f>'ｼｰﾄNO.3（表-3）59頁'!$F$30</f>
        <v>9</v>
      </c>
      <c r="D67" s="216" t="s">
        <v>65</v>
      </c>
      <c r="E67" s="342">
        <f>'ｼｰﾄNO.4（表-4）60頁'!K72</f>
        <v>54.15</v>
      </c>
      <c r="F67" s="590">
        <f>'ｼｰﾄNO.4（表-4）60頁'!C72/1000</f>
        <v>0.76100000000000001</v>
      </c>
      <c r="G67" s="590">
        <f>'ｼｰﾄNO.4（表-4）60頁'!C72/1000/('ｼｰﾄNO.4（表-4）60頁'!H72/3600)</f>
        <v>22.641322314049585</v>
      </c>
      <c r="H67" s="219">
        <f t="shared" ref="H67" si="528">-2.71095565/G67-0.09453616*G67+0.00089493*G67^2+3.15403637</f>
        <v>1.3526453340932798</v>
      </c>
      <c r="I67" s="592">
        <v>10000</v>
      </c>
      <c r="J67" s="343">
        <f t="shared" ref="J67" si="529">C67*E67*F67*H67/1000000*I67</f>
        <v>5.0166010641704384</v>
      </c>
      <c r="K67" s="219">
        <f t="shared" ref="K67" si="530">1501.20185/G67-2.40935*G67+0.02115*G67^2+174.47635</f>
        <v>197.07122317498113</v>
      </c>
      <c r="L67" s="592">
        <v>2891</v>
      </c>
      <c r="M67" s="343">
        <f t="shared" ref="M67" si="531">C67*E67*F67*K67/1000000*L67</f>
        <v>211.29875152721084</v>
      </c>
      <c r="N67" s="219">
        <f t="shared" ref="N67" si="532">-0.25063622/G67-0.00657231*G67+0.00005332*G67^2+0.29056757</f>
        <v>0.15802532673956798</v>
      </c>
      <c r="O67" s="592">
        <v>840100</v>
      </c>
      <c r="P67" s="343">
        <f t="shared" ref="P67" si="533">C67*E67*F67*N67/1000000*O67</f>
        <v>49.236061880939722</v>
      </c>
      <c r="Q67" s="219">
        <f t="shared" ref="Q67" si="534">0.093055673/G67-0.0002682273*G67+0.00000218*G67^2+0.0173678037</f>
        <v>1.6522308062949704E-2</v>
      </c>
      <c r="R67" s="592">
        <v>482200</v>
      </c>
      <c r="S67" s="343">
        <f t="shared" ref="S67" si="535">C67*E67*F67*Q67/1000000*R67</f>
        <v>2.9547690999286043</v>
      </c>
      <c r="T67" s="219">
        <f t="shared" ref="T67" si="536">0.630901162/G67-0.001006579*G67+0.000008915*G67^2+0.0072170055</f>
        <v>1.6861849317317577E-2</v>
      </c>
      <c r="U67" s="592">
        <v>160</v>
      </c>
      <c r="V67" s="343">
        <f t="shared" ref="V67" si="537">C67*E67*F67*T67*U67</f>
        <v>1000.5776869614051</v>
      </c>
      <c r="W67" s="598"/>
      <c r="X67" s="598"/>
      <c r="Y67" s="598"/>
      <c r="Z67" s="595"/>
    </row>
    <row r="68" spans="1:26" ht="15" customHeight="1">
      <c r="A68" s="604"/>
      <c r="B68" s="589"/>
      <c r="C68" s="587"/>
      <c r="D68" s="217" t="s">
        <v>66</v>
      </c>
      <c r="E68" s="344">
        <f>'ｼｰﾄNO.4（表-4）60頁'!K73</f>
        <v>2.85</v>
      </c>
      <c r="F68" s="591"/>
      <c r="G68" s="591"/>
      <c r="H68" s="218">
        <f t="shared" ref="H68" si="538">12.28697452/G67-0.05907844*G67+0.00051753*G67^2+2.69979197</f>
        <v>2.1701582938483104</v>
      </c>
      <c r="I68" s="593"/>
      <c r="J68" s="345">
        <f t="shared" ref="J68" si="539">C67*E68*F67*H68/1000000*I67</f>
        <v>0.42360730340516178</v>
      </c>
      <c r="K68" s="218">
        <f t="shared" ref="K68" si="540">908.52069/G67-23.49889*G67+0.18396*G67^2+1364.81344</f>
        <v>967.19747801654171</v>
      </c>
      <c r="L68" s="593"/>
      <c r="M68" s="345">
        <f t="shared" ref="M68" si="541">C67*E68*F67*K68/1000000*L67</f>
        <v>54.580218923854325</v>
      </c>
      <c r="N68" s="218">
        <f t="shared" ref="N68" si="542">9.45345681/G67-0.14325844*G67+0.00124097*G67^2+5.98054622</f>
        <v>3.7906746331889405</v>
      </c>
      <c r="O68" s="593"/>
      <c r="P68" s="345">
        <f t="shared" ref="P68" si="543">C67*E68*F67*N68/1000000*O67</f>
        <v>62.161218631340638</v>
      </c>
      <c r="Q68" s="218">
        <f t="shared" ref="Q68" si="544">0.6037810576/G67-0.0052863845*G67+0.000423961*G67^2+0.3189943526</f>
        <v>0.44330573968938591</v>
      </c>
      <c r="R68" s="593"/>
      <c r="S68" s="345">
        <f t="shared" ref="S68" si="545">C67*E68*F67*Q68/1000000*R67</f>
        <v>4.1725599635692037</v>
      </c>
      <c r="T68" s="218">
        <f t="shared" ref="T68" si="546">0.2877659/G67-0.008903887*G67+0.000069093*G67^2+0.516185391</f>
        <v>0.36271848960200154</v>
      </c>
      <c r="U68" s="593"/>
      <c r="V68" s="345">
        <f t="shared" ref="V68" si="547">C67*E68*F67*T68*U67</f>
        <v>1132.8220744895536</v>
      </c>
      <c r="W68" s="598"/>
      <c r="X68" s="598"/>
      <c r="Y68" s="598"/>
      <c r="Z68" s="595"/>
    </row>
    <row r="69" spans="1:26" ht="15" customHeight="1">
      <c r="A69" s="604"/>
      <c r="B69" s="588" t="s">
        <v>52</v>
      </c>
      <c r="C69" s="586">
        <f>'ｼｰﾄNO.3（表-3）59頁'!$F$30</f>
        <v>9</v>
      </c>
      <c r="D69" s="216" t="s">
        <v>65</v>
      </c>
      <c r="E69" s="342">
        <f>'ｼｰﾄNO.4（表-4）60頁'!K74</f>
        <v>158.65</v>
      </c>
      <c r="F69" s="590">
        <f>'ｼｰﾄNO.4（表-4）60頁'!C74/1000</f>
        <v>0.84799999999999998</v>
      </c>
      <c r="G69" s="590">
        <f>'ｼｰﾄNO.4（表-4）60頁'!C74/1000/('ｼｰﾄNO.4（表-4）60頁'!H74/3600)</f>
        <v>27.752727272727274</v>
      </c>
      <c r="H69" s="219">
        <f t="shared" ref="H69" si="548">-2.71095565/G69-0.09453616*G69+0.00089493*G69^2+3.15403637</f>
        <v>1.1220051084994243</v>
      </c>
      <c r="I69" s="592">
        <v>10000</v>
      </c>
      <c r="J69" s="343">
        <f t="shared" ref="J69" si="549">C69*E69*F69*H69/1000000*I69</f>
        <v>13.585426350569257</v>
      </c>
      <c r="K69" s="219">
        <f t="shared" ref="K69" si="550">1501.20185/G69-2.40935*G69+0.02115*G69^2+174.47635</f>
        <v>177.99238771086846</v>
      </c>
      <c r="L69" s="592">
        <v>2891</v>
      </c>
      <c r="M69" s="343">
        <f t="shared" ref="M69" si="551">C69*E69*F69*K69/1000000*L69</f>
        <v>623.0572570462441</v>
      </c>
      <c r="N69" s="219">
        <f t="shared" ref="N69" si="552">-0.25063622/G69-0.00657231*G69+0.00005332*G69^2+0.29056757</f>
        <v>0.14020479834032479</v>
      </c>
      <c r="O69" s="592">
        <v>840100</v>
      </c>
      <c r="P69" s="343">
        <f t="shared" ref="P69" si="553">C69*E69*F69*N69/1000000*O69</f>
        <v>142.6173294602321</v>
      </c>
      <c r="Q69" s="219">
        <f t="shared" ref="Q69" si="554">0.093055673/G69-0.0002682273*G69+0.00000218*G69^2+0.0173678037</f>
        <v>1.4955858884601478E-2</v>
      </c>
      <c r="R69" s="592">
        <v>482200</v>
      </c>
      <c r="S69" s="343">
        <f t="shared" ref="S69" si="555">C69*E69*F69*Q69/1000000*R69</f>
        <v>8.7320658654652625</v>
      </c>
      <c r="T69" s="219">
        <f t="shared" ref="T69" si="556">0.630901162/G69-0.001006579*G69+0.000008915*G69^2+0.0072170055</f>
        <v>8.8810925083286883E-3</v>
      </c>
      <c r="U69" s="592">
        <v>160</v>
      </c>
      <c r="V69" s="343">
        <f t="shared" ref="V69" si="557">C69*E69*F69*T69*U69</f>
        <v>1720.5401618301628</v>
      </c>
      <c r="W69" s="598"/>
      <c r="X69" s="598"/>
      <c r="Y69" s="598"/>
      <c r="Z69" s="595"/>
    </row>
    <row r="70" spans="1:26" ht="15" customHeight="1">
      <c r="A70" s="604"/>
      <c r="B70" s="589"/>
      <c r="C70" s="587"/>
      <c r="D70" s="217" t="s">
        <v>66</v>
      </c>
      <c r="E70" s="344">
        <f>'ｼｰﾄNO.4（表-4）60頁'!K75</f>
        <v>8.35</v>
      </c>
      <c r="F70" s="591"/>
      <c r="G70" s="591"/>
      <c r="H70" s="218">
        <f t="shared" ref="H70" si="558">12.28697452/G69-0.05907844*G69+0.00051753*G69^2+2.69979197</f>
        <v>1.9015432666737011</v>
      </c>
      <c r="I70" s="593"/>
      <c r="J70" s="345">
        <f t="shared" ref="J70" si="559">C69*E70*F69*H70/1000000*I69</f>
        <v>1.2118002806396826</v>
      </c>
      <c r="K70" s="218">
        <f t="shared" ref="K70" si="560">908.52069/G69-23.49889*G69+0.18396*G69^2+1364.81344</f>
        <v>887.07996534181075</v>
      </c>
      <c r="L70" s="593"/>
      <c r="M70" s="345">
        <f t="shared" ref="M70" si="561">C69*E70*F69*K70/1000000*L69</f>
        <v>163.43147476395285</v>
      </c>
      <c r="N70" s="218">
        <f t="shared" ref="N70" si="562">9.45345681/G69-0.14325844*G69+0.00124097*G69^2+5.98054622</f>
        <v>3.3011777457107159</v>
      </c>
      <c r="O70" s="593"/>
      <c r="P70" s="345">
        <f t="shared" ref="P70" si="563">C69*E70*F69*N70/1000000*O69</f>
        <v>176.73588160806659</v>
      </c>
      <c r="Q70" s="218">
        <f t="shared" ref="Q70" si="564">0.6037810576/G69-0.0052863845*G69+0.000423961*G69^2+0.3189943526</f>
        <v>0.52057914610079359</v>
      </c>
      <c r="R70" s="593"/>
      <c r="S70" s="345">
        <f t="shared" ref="S70" si="565">C69*E70*F69*Q70/1000000*R69</f>
        <v>15.997009765500021</v>
      </c>
      <c r="T70" s="218">
        <f t="shared" ref="T70" si="566">0.2877659/G69-0.008903887*G69+0.000069093*G69^2+0.516185391</f>
        <v>0.33266355369950334</v>
      </c>
      <c r="U70" s="593"/>
      <c r="V70" s="345">
        <f t="shared" ref="V70" si="567">C69*E70*F69*T70*U69</f>
        <v>3391.9546910910376</v>
      </c>
      <c r="W70" s="598"/>
      <c r="X70" s="598"/>
      <c r="Y70" s="598"/>
      <c r="Z70" s="595"/>
    </row>
    <row r="71" spans="1:26" ht="15" customHeight="1">
      <c r="A71" s="604"/>
      <c r="B71" s="588" t="s">
        <v>53</v>
      </c>
      <c r="C71" s="586">
        <f>'ｼｰﾄNO.3（表-3）59頁'!$F$30</f>
        <v>9</v>
      </c>
      <c r="D71" s="216" t="s">
        <v>65</v>
      </c>
      <c r="E71" s="342">
        <f>'ｼｰﾄNO.4（表-4）60頁'!K76</f>
        <v>738.15</v>
      </c>
      <c r="F71" s="590">
        <f>'ｼｰﾄNO.4（表-4）60頁'!C76/1000</f>
        <v>0.61699999999999999</v>
      </c>
      <c r="G71" s="590">
        <f>'ｼｰﾄNO.4（表-4）60頁'!C76/1000/('ｼｰﾄNO.4（表-4）60頁'!H76/3600)</f>
        <v>27.087804878048779</v>
      </c>
      <c r="H71" s="219">
        <f t="shared" ref="H71" si="568">-2.71095565/G71-0.09453616*G71+0.00089493*G71^2+3.15403637</f>
        <v>1.1498331610692509</v>
      </c>
      <c r="I71" s="592">
        <v>10000</v>
      </c>
      <c r="J71" s="343">
        <f t="shared" ref="J71" si="569">C71*E71*F71*H71/1000000*I71</f>
        <v>47.131051285736646</v>
      </c>
      <c r="K71" s="219">
        <f t="shared" ref="K71" si="570">1501.20185/G71-2.40935*G71+0.02115*G71^2+174.47635</f>
        <v>180.15098372041632</v>
      </c>
      <c r="L71" s="592">
        <v>2891</v>
      </c>
      <c r="M71" s="343">
        <f t="shared" ref="M71" si="571">C71*E71*F71*K71/1000000*L71</f>
        <v>2134.7991793275273</v>
      </c>
      <c r="N71" s="219">
        <f t="shared" ref="N71" si="572">-0.25063622/G71-0.00657231*G71+0.00005332*G71^2+0.29056757</f>
        <v>0.14240889225716619</v>
      </c>
      <c r="O71" s="592">
        <v>840100</v>
      </c>
      <c r="P71" s="343">
        <f t="shared" ref="P71" si="573">C71*E71*F71*N71/1000000*O71</f>
        <v>490.3886280885846</v>
      </c>
      <c r="Q71" s="219">
        <f t="shared" ref="Q71" si="574">0.093055673/G71-0.0002682273*G71+0.00000218*G71^2+0.0173678037</f>
        <v>1.5137022719626959E-2</v>
      </c>
      <c r="R71" s="592">
        <v>482200</v>
      </c>
      <c r="S71" s="343">
        <f t="shared" ref="S71" si="575">C71*E71*F71*Q71/1000000*R71</f>
        <v>29.918510369013028</v>
      </c>
      <c r="T71" s="219">
        <f t="shared" ref="T71" si="576">0.630901162/G71-0.001006579*G71+0.000008915*G71^2+0.0072170055</f>
        <v>9.7833305544376171E-3</v>
      </c>
      <c r="U71" s="592">
        <v>160</v>
      </c>
      <c r="V71" s="343">
        <f t="shared" ref="V71" si="577">C71*E71*F71*T71*U71</f>
        <v>6416.2164699126197</v>
      </c>
      <c r="W71" s="598"/>
      <c r="X71" s="598"/>
      <c r="Y71" s="598"/>
      <c r="Z71" s="595"/>
    </row>
    <row r="72" spans="1:26" ht="15" customHeight="1">
      <c r="A72" s="604"/>
      <c r="B72" s="589"/>
      <c r="C72" s="587"/>
      <c r="D72" s="217" t="s">
        <v>66</v>
      </c>
      <c r="E72" s="344">
        <f>'ｼｰﾄNO.4（表-4）60頁'!K77</f>
        <v>38.85</v>
      </c>
      <c r="F72" s="591"/>
      <c r="G72" s="591"/>
      <c r="H72" s="218">
        <f t="shared" ref="H72" si="578">12.28697452/G71-0.05907844*G71+0.00051753*G71^2+2.69979197</f>
        <v>1.9328219392155921</v>
      </c>
      <c r="I72" s="593"/>
      <c r="J72" s="345">
        <f t="shared" ref="J72" si="579">C71*E72*F71*H72/1000000*I71</f>
        <v>4.1697550487583355</v>
      </c>
      <c r="K72" s="218">
        <f t="shared" ref="K72" si="580">908.52069/G71-23.49889*G71+0.18396*G71^2+1364.81344</f>
        <v>896.80043250303515</v>
      </c>
      <c r="L72" s="593"/>
      <c r="M72" s="345">
        <f t="shared" ref="M72" si="581">C71*E72*F71*K72/1000000*L71</f>
        <v>559.3228955982205</v>
      </c>
      <c r="N72" s="218">
        <f t="shared" ref="N72" si="582">9.45345681/G71-0.14325844*G71+0.00124097*G71^2+5.98054622</f>
        <v>3.3595433546140332</v>
      </c>
      <c r="O72" s="593"/>
      <c r="P72" s="345">
        <f t="shared" ref="P72" si="583">C71*E72*F71*N72/1000000*O71</f>
        <v>608.87750778424038</v>
      </c>
      <c r="Q72" s="218">
        <f t="shared" ref="Q72" si="584">0.6037810576/G71-0.0052863845*G71+0.000423961*G71^2+0.3189943526</f>
        <v>0.50916860825670229</v>
      </c>
      <c r="R72" s="593"/>
      <c r="S72" s="345">
        <f t="shared" ref="S72" si="585">C71*E72*F71*Q72/1000000*R71</f>
        <v>52.967261889381859</v>
      </c>
      <c r="T72" s="218">
        <f t="shared" ref="T72" si="586">0.2877659/G71-0.008903887*G71+0.000069093*G71^2+0.516185391</f>
        <v>0.33631901740188841</v>
      </c>
      <c r="U72" s="593"/>
      <c r="V72" s="345">
        <f t="shared" ref="V72" si="587">C71*E72*F71*T72*U71</f>
        <v>11608.874194580781</v>
      </c>
      <c r="W72" s="598"/>
      <c r="X72" s="598"/>
      <c r="Y72" s="598"/>
      <c r="Z72" s="595"/>
    </row>
    <row r="73" spans="1:26" ht="15" customHeight="1">
      <c r="A73" s="604"/>
      <c r="B73" s="588" t="s">
        <v>54</v>
      </c>
      <c r="C73" s="586">
        <f>'ｼｰﾄNO.3（表-3）59頁'!$F$30</f>
        <v>9</v>
      </c>
      <c r="D73" s="216" t="s">
        <v>65</v>
      </c>
      <c r="E73" s="342">
        <f>'ｼｰﾄNO.4（表-4）60頁'!K78</f>
        <v>133</v>
      </c>
      <c r="F73" s="590">
        <f>'ｼｰﾄNO.4（表-4）60頁'!C78/1000</f>
        <v>0.82399999999999995</v>
      </c>
      <c r="G73" s="590">
        <f>'ｼｰﾄNO.4（表-4）60頁'!C78/1000/('ｼｰﾄNO.4（表-4）60頁'!H78/3600)</f>
        <v>28.523076923076921</v>
      </c>
      <c r="H73" s="219">
        <f t="shared" ref="H73" si="588">-2.71095565/G73-0.09453616*G73+0.00089493*G73^2+3.15403637</f>
        <v>1.090614460615126</v>
      </c>
      <c r="I73" s="592">
        <v>10000</v>
      </c>
      <c r="J73" s="343">
        <f t="shared" ref="J73" si="589">C73*E73*F73*H73/1000000*I73</f>
        <v>10.757035797095959</v>
      </c>
      <c r="K73" s="219">
        <f t="shared" ref="K73" si="590">1501.20185/G73-2.40935*G73+0.02115*G73^2+174.47635</f>
        <v>175.59232658424133</v>
      </c>
      <c r="L73" s="592">
        <v>2891</v>
      </c>
      <c r="M73" s="343">
        <f t="shared" ref="M73" si="591">C73*E73*F73*K73/1000000*L73</f>
        <v>500.69699740136997</v>
      </c>
      <c r="N73" s="219">
        <f t="shared" ref="N73" si="592">-0.25063622/G73-0.00657231*G73+0.00005332*G73^2+0.29056757</f>
        <v>0.1376972627690112</v>
      </c>
      <c r="O73" s="592">
        <v>840100</v>
      </c>
      <c r="P73" s="343">
        <f t="shared" ref="P73" si="593">C73*E73*F73*N73/1000000*O73</f>
        <v>114.0979007322232</v>
      </c>
      <c r="Q73" s="219">
        <f t="shared" ref="Q73" si="594">0.093055673/G73-0.0002682273*G73+0.00000218*G73^2+0.0173678037</f>
        <v>1.4753179146136358E-2</v>
      </c>
      <c r="R73" s="592">
        <v>482200</v>
      </c>
      <c r="S73" s="343">
        <f t="shared" ref="S73" si="595">C73*E73*F73*Q73/1000000*R73</f>
        <v>7.0167206089060548</v>
      </c>
      <c r="T73" s="219">
        <f t="shared" ref="T73" si="596">0.630901162/G73-0.001006579*G73+0.000008915*G73^2+0.0072170055</f>
        <v>7.8781881831032213E-3</v>
      </c>
      <c r="U73" s="592">
        <v>160</v>
      </c>
      <c r="V73" s="343">
        <f t="shared" ref="V73" si="597">C73*E73*F73*T73*U73</f>
        <v>1243.2764150822136</v>
      </c>
      <c r="W73" s="598"/>
      <c r="X73" s="598"/>
      <c r="Y73" s="598"/>
      <c r="Z73" s="595"/>
    </row>
    <row r="74" spans="1:26" ht="15" customHeight="1">
      <c r="A74" s="604"/>
      <c r="B74" s="589"/>
      <c r="C74" s="587"/>
      <c r="D74" s="217" t="s">
        <v>66</v>
      </c>
      <c r="E74" s="344">
        <f>'ｼｰﾄNO.4（表-4）60頁'!K79</f>
        <v>7</v>
      </c>
      <c r="F74" s="591"/>
      <c r="G74" s="591"/>
      <c r="H74" s="218">
        <f t="shared" ref="H74" si="598">12.28697452/G73-0.05907844*G73+0.00051753*G73^2+2.69979197</f>
        <v>1.8665109593380467</v>
      </c>
      <c r="I74" s="593"/>
      <c r="J74" s="345">
        <f t="shared" ref="J74" si="599">C73*E74*F73*H74/1000000*I73</f>
        <v>0.96894316921156676</v>
      </c>
      <c r="K74" s="218">
        <f t="shared" ref="K74" si="600">908.52069/G73-23.49889*G73+0.18396*G73^2+1364.81344</f>
        <v>876.06850679459603</v>
      </c>
      <c r="L74" s="593"/>
      <c r="M74" s="345">
        <f t="shared" ref="M74" si="601">C73*E74*F73*K74/1000000*L73</f>
        <v>131.47825192676862</v>
      </c>
      <c r="N74" s="218">
        <f t="shared" ref="N74" si="602">9.45345681/G73-0.14325844*G73+0.00124097*G73^2+5.98054622</f>
        <v>3.2354174852760047</v>
      </c>
      <c r="O74" s="593"/>
      <c r="P74" s="345">
        <f t="shared" ref="P74" si="603">C73*E74*F73*N74/1000000*O73</f>
        <v>141.10066939559385</v>
      </c>
      <c r="Q74" s="218">
        <f t="shared" ref="Q74" si="604">0.6037810576/G73-0.0052863845*G73+0.000423961*G73^2+0.3189943526</f>
        <v>0.53429878072260373</v>
      </c>
      <c r="R74" s="593"/>
      <c r="S74" s="345">
        <f t="shared" ref="S74" si="605">C73*E74*F73*Q74/1000000*R73</f>
        <v>13.374549126609184</v>
      </c>
      <c r="T74" s="218">
        <f t="shared" ref="T74" si="606">0.2877659/G73-0.008903887*G73+0.000069093*G73^2+0.516185391</f>
        <v>0.32851972708814747</v>
      </c>
      <c r="U74" s="593"/>
      <c r="V74" s="345">
        <f t="shared" ref="V74" si="607">C73*E74*F73*T74*U73</f>
        <v>2728.6585716159857</v>
      </c>
      <c r="W74" s="598"/>
      <c r="X74" s="598"/>
      <c r="Y74" s="598"/>
      <c r="Z74" s="595"/>
    </row>
    <row r="75" spans="1:26" ht="15" customHeight="1">
      <c r="A75" s="604"/>
      <c r="B75" s="588" t="s">
        <v>55</v>
      </c>
      <c r="C75" s="586">
        <f>'ｼｰﾄNO.3（表-3）59頁'!$F$30</f>
        <v>9</v>
      </c>
      <c r="D75" s="216" t="s">
        <v>65</v>
      </c>
      <c r="E75" s="342">
        <f>'ｼｰﾄNO.4（表-4）60頁'!K80</f>
        <v>47.5</v>
      </c>
      <c r="F75" s="590">
        <f>'ｼｰﾄNO.4（表-4）60頁'!C80/1000</f>
        <v>0.91</v>
      </c>
      <c r="G75" s="590">
        <f>'ｼｰﾄNO.4（表-4）60頁'!C80/1000/('ｼｰﾄNO.4（表-4）60頁'!H80/3600)</f>
        <v>22.90909090909091</v>
      </c>
      <c r="H75" s="219">
        <f t="shared" ref="H75" si="608">-2.71095565/G75-0.09453616*G75+0.00089493*G75^2+3.15403637</f>
        <v>1.3396464522592815</v>
      </c>
      <c r="I75" s="592">
        <v>10000</v>
      </c>
      <c r="J75" s="343">
        <f t="shared" ref="J75" si="609">C75*E75*F75*H75/1000000*I75</f>
        <v>5.21155961090167</v>
      </c>
      <c r="K75" s="219">
        <f t="shared" ref="K75" si="610">1501.20185/G75-2.40935*G75+0.02115*G75^2+174.47635</f>
        <v>195.90906333956445</v>
      </c>
      <c r="L75" s="592">
        <v>2891</v>
      </c>
      <c r="M75" s="343">
        <f t="shared" ref="M75" si="611">C75*E75*F75*K75/1000000*L75</f>
        <v>220.33329605016377</v>
      </c>
      <c r="N75" s="219">
        <f t="shared" ref="N75" si="612">-0.25063622/G75-0.00657231*G75+0.00005332*G75^2+0.29056757</f>
        <v>0.15704519892234028</v>
      </c>
      <c r="O75" s="592">
        <v>840100</v>
      </c>
      <c r="P75" s="343">
        <f t="shared" ref="P75" si="613">C75*E75*F75*N75/1000000*O75</f>
        <v>51.325496599892354</v>
      </c>
      <c r="Q75" s="219">
        <f t="shared" ref="Q75" si="614">0.093055673/G75-0.0002682273*G75+0.00000218*G75^2+0.0173678037</f>
        <v>1.6429035733051291E-2</v>
      </c>
      <c r="R75" s="592">
        <v>482200</v>
      </c>
      <c r="S75" s="343">
        <f t="shared" ref="S75" si="615">C75*E75*F75*Q75/1000000*R75</f>
        <v>3.0818875728814445</v>
      </c>
      <c r="T75" s="219">
        <f t="shared" ref="T75" si="616">0.630901162/G75-0.001006579*G75+0.000008915*G75^2+0.0072170055</f>
        <v>1.6375359886921154E-2</v>
      </c>
      <c r="U75" s="592">
        <v>160</v>
      </c>
      <c r="V75" s="343">
        <f t="shared" ref="V75" si="617">C75*E75*F75*T75*U75</f>
        <v>1019.2679008015203</v>
      </c>
      <c r="W75" s="598"/>
      <c r="X75" s="598"/>
      <c r="Y75" s="598"/>
      <c r="Z75" s="595"/>
    </row>
    <row r="76" spans="1:26" ht="15" customHeight="1">
      <c r="A76" s="604"/>
      <c r="B76" s="589"/>
      <c r="C76" s="587"/>
      <c r="D76" s="217" t="s">
        <v>66</v>
      </c>
      <c r="E76" s="344">
        <f>'ｼｰﾄNO.4（表-4）60頁'!K81</f>
        <v>2.5</v>
      </c>
      <c r="F76" s="591"/>
      <c r="G76" s="591"/>
      <c r="H76" s="218">
        <f t="shared" ref="H76" si="618">12.28697452/G75-0.05907844*G75+0.00051753*G75^2+2.69979197</f>
        <v>2.154308237381608</v>
      </c>
      <c r="I76" s="593"/>
      <c r="J76" s="345">
        <f t="shared" ref="J76" si="619">C75*E76*F75*H76/1000000*I75</f>
        <v>0.4410946116038843</v>
      </c>
      <c r="K76" s="218">
        <f t="shared" ref="K76" si="620">908.52069/G75-23.49889*G75+0.18396*G75^2+1364.81344</f>
        <v>962.67995495179059</v>
      </c>
      <c r="L76" s="593"/>
      <c r="M76" s="345">
        <f t="shared" ref="M76" si="621">C75*E76*F75*K76/1000000*L75</f>
        <v>56.9841311764512</v>
      </c>
      <c r="N76" s="218">
        <f t="shared" ref="N76" si="622">9.45345681/G75-0.14325844*G75+0.00124097*G75^2+5.98054622</f>
        <v>3.7625703620867768</v>
      </c>
      <c r="O76" s="593"/>
      <c r="P76" s="345">
        <f t="shared" ref="P76" si="623">C75*E76*F75*N76/1000000*O75</f>
        <v>64.720151520346846</v>
      </c>
      <c r="Q76" s="218">
        <f t="shared" ref="Q76" si="624">0.6037810576/G75-0.0052863845*G75+0.000423961*G75^2+0.3189943526</f>
        <v>0.44674955685638201</v>
      </c>
      <c r="R76" s="593"/>
      <c r="S76" s="345">
        <f t="shared" ref="S76" si="625">C75*E76*F75*Q76/1000000*R75</f>
        <v>4.4107784785731186</v>
      </c>
      <c r="T76" s="218">
        <f t="shared" ref="T76" si="626">0.2877659/G75-0.008903887*G75+0.000069093*G75^2+0.516185391</f>
        <v>0.3610284778462548</v>
      </c>
      <c r="U76" s="593"/>
      <c r="V76" s="345">
        <f t="shared" ref="V76" si="627">C75*E76*F75*T76*U75</f>
        <v>1182.729293424331</v>
      </c>
      <c r="W76" s="598"/>
      <c r="X76" s="598"/>
      <c r="Y76" s="598"/>
      <c r="Z76" s="595"/>
    </row>
    <row r="77" spans="1:26" ht="15" customHeight="1">
      <c r="A77" s="604"/>
      <c r="B77" s="588" t="s">
        <v>56</v>
      </c>
      <c r="C77" s="586">
        <f>'ｼｰﾄNO.3（表-3）59頁'!$F$30</f>
        <v>9</v>
      </c>
      <c r="D77" s="216" t="s">
        <v>65</v>
      </c>
      <c r="E77" s="342">
        <f>'ｼｰﾄNO.4（表-4）60頁'!K82</f>
        <v>743.84999999999991</v>
      </c>
      <c r="F77" s="590">
        <f>'ｼｰﾄNO.4（表-4）60頁'!C82/1000</f>
        <v>0.61699999999999999</v>
      </c>
      <c r="G77" s="590">
        <f>'ｼｰﾄNO.4（表-4）60頁'!C82/1000/('ｼｰﾄNO.4（表-4）60頁'!H82/3600)</f>
        <v>27.087804878048779</v>
      </c>
      <c r="H77" s="219">
        <f t="shared" ref="H77" si="628">-2.71095565/G77-0.09453616*G77+0.00089493*G77^2+3.15403637</f>
        <v>1.1498331610692509</v>
      </c>
      <c r="I77" s="592">
        <v>10000</v>
      </c>
      <c r="J77" s="343">
        <f t="shared" ref="J77" si="629">C77*E77*F77*H77/1000000*I77</f>
        <v>47.494997627711449</v>
      </c>
      <c r="K77" s="219">
        <f t="shared" ref="K77" si="630">1501.20185/G77-2.40935*G77+0.02115*G77^2+174.47635</f>
        <v>180.15098372041632</v>
      </c>
      <c r="L77" s="592">
        <v>2891</v>
      </c>
      <c r="M77" s="343">
        <f t="shared" ref="M77" si="631">C77*E77*F77*K77/1000000*L77</f>
        <v>2151.2841150752306</v>
      </c>
      <c r="N77" s="219">
        <f t="shared" ref="N77" si="632">-0.25063622/G77-0.00657231*G77+0.00005332*G77^2+0.29056757</f>
        <v>0.14240889225716619</v>
      </c>
      <c r="O77" s="592">
        <v>840100</v>
      </c>
      <c r="P77" s="343">
        <f t="shared" ref="P77" si="633">C77*E77*F77*N77/1000000*O77</f>
        <v>494.17541286146945</v>
      </c>
      <c r="Q77" s="219">
        <f t="shared" ref="Q77" si="634">0.093055673/G77-0.0002682273*G77+0.00000218*G77^2+0.0173678037</f>
        <v>1.5137022719626959E-2</v>
      </c>
      <c r="R77" s="592">
        <v>482200</v>
      </c>
      <c r="S77" s="343">
        <f t="shared" ref="S77" si="635">C77*E77*F77*Q77/1000000*R77</f>
        <v>30.149541337113515</v>
      </c>
      <c r="T77" s="219">
        <f t="shared" ref="T77" si="636">0.630901162/G77-0.001006579*G77+0.000008915*G77^2+0.0072170055</f>
        <v>9.7833305544376171E-3</v>
      </c>
      <c r="U77" s="592">
        <v>160</v>
      </c>
      <c r="V77" s="343">
        <f t="shared" ref="V77" si="637">C77*E77*F77*T77*U77</f>
        <v>6465.7625430393591</v>
      </c>
      <c r="W77" s="598"/>
      <c r="X77" s="598"/>
      <c r="Y77" s="598"/>
      <c r="Z77" s="595"/>
    </row>
    <row r="78" spans="1:26" ht="15" customHeight="1">
      <c r="A78" s="605"/>
      <c r="B78" s="589"/>
      <c r="C78" s="587"/>
      <c r="D78" s="217" t="s">
        <v>66</v>
      </c>
      <c r="E78" s="344">
        <f>'ｼｰﾄNO.4（表-4）60頁'!K83</f>
        <v>39.150000000000006</v>
      </c>
      <c r="F78" s="591"/>
      <c r="G78" s="591"/>
      <c r="H78" s="218">
        <f t="shared" ref="H78" si="638">12.28697452/G77-0.05907844*G77+0.00051753*G77^2+2.69979197</f>
        <v>1.9328219392155921</v>
      </c>
      <c r="I78" s="593"/>
      <c r="J78" s="345">
        <f t="shared" ref="J78" si="639">C77*E78*F77*H78/1000000*I77</f>
        <v>4.2019539294437278</v>
      </c>
      <c r="K78" s="218">
        <f t="shared" ref="K78" si="640">908.52069/G77-23.49889*G77+0.18396*G77^2+1364.81344</f>
        <v>896.80043250303515</v>
      </c>
      <c r="L78" s="593"/>
      <c r="M78" s="345">
        <f t="shared" ref="M78" si="641">C77*E78*F77*K78/1000000*L77</f>
        <v>563.64199131712564</v>
      </c>
      <c r="N78" s="218">
        <f t="shared" ref="N78" si="642">9.45345681/G77-0.14325844*G77+0.00124097*G77^2+5.98054622</f>
        <v>3.3595433546140332</v>
      </c>
      <c r="O78" s="593"/>
      <c r="P78" s="345">
        <f t="shared" ref="P78" si="643">C77*E78*F77*N78/1000000*O77</f>
        <v>613.57926460110696</v>
      </c>
      <c r="Q78" s="218">
        <f t="shared" ref="Q78" si="644">0.6037810576/G77-0.0052863845*G77+0.000423961*G77^2+0.3189943526</f>
        <v>0.50916860825670229</v>
      </c>
      <c r="R78" s="593"/>
      <c r="S78" s="345">
        <f t="shared" ref="S78" si="645">C77*E78*F77*Q78/1000000*R77</f>
        <v>53.376275494705276</v>
      </c>
      <c r="T78" s="218">
        <f t="shared" ref="T78" si="646">0.2877659/G77-0.008903887*G77+0.000069093*G77^2+0.516185391</f>
        <v>0.33631901740188841</v>
      </c>
      <c r="U78" s="593"/>
      <c r="V78" s="345">
        <f t="shared" ref="V78" si="647">C77*E78*F77*T78*U77</f>
        <v>11698.51801075515</v>
      </c>
      <c r="W78" s="599"/>
      <c r="X78" s="599"/>
      <c r="Y78" s="599"/>
      <c r="Z78" s="596"/>
    </row>
    <row r="79" spans="1:26" ht="15" customHeight="1">
      <c r="A79" s="66"/>
      <c r="B79" s="66"/>
      <c r="C79" s="66"/>
      <c r="D79" s="66"/>
      <c r="E79" s="67"/>
      <c r="F79" s="67"/>
      <c r="G79" s="67"/>
      <c r="H79" s="68"/>
      <c r="I79" s="67"/>
      <c r="J79" s="67"/>
      <c r="K79" s="68"/>
      <c r="L79" s="67"/>
      <c r="M79" s="67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s="66" customFormat="1" ht="30" customHeight="1">
      <c r="B80" s="69" t="s">
        <v>605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346"/>
      <c r="N80" s="347"/>
      <c r="O80" s="347"/>
    </row>
    <row r="81" spans="2:23" s="66" customFormat="1" ht="30" customHeight="1">
      <c r="B81" s="69" t="s">
        <v>542</v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2:23" s="66" customFormat="1" ht="30" customHeight="1">
      <c r="B82" s="69" t="s">
        <v>853</v>
      </c>
      <c r="C82" s="69"/>
      <c r="D82" s="69"/>
      <c r="E82" s="69"/>
      <c r="F82" s="69"/>
      <c r="G82" s="69"/>
      <c r="H82" s="69"/>
      <c r="I82" s="69"/>
      <c r="J82" s="69"/>
      <c r="K82" s="69"/>
      <c r="L82" s="348"/>
      <c r="M82" s="348"/>
      <c r="N82" s="348"/>
      <c r="O82" s="348"/>
      <c r="P82" s="349"/>
      <c r="Q82" s="349"/>
      <c r="R82" s="349"/>
      <c r="S82" s="349"/>
      <c r="T82" s="349"/>
      <c r="U82" s="349"/>
      <c r="V82" s="350"/>
      <c r="W82" s="350"/>
    </row>
    <row r="83" spans="2:23" ht="15" customHeight="1">
      <c r="B83" s="351"/>
      <c r="C83" s="351"/>
      <c r="D83" s="351"/>
      <c r="E83" s="352"/>
      <c r="F83" s="352"/>
      <c r="G83" s="352"/>
      <c r="H83" s="353"/>
      <c r="I83" s="352"/>
      <c r="J83" s="352"/>
      <c r="K83" s="353"/>
      <c r="L83" s="352"/>
      <c r="M83" s="352"/>
      <c r="N83" s="351"/>
      <c r="O83" s="351"/>
    </row>
    <row r="84" spans="2:23" ht="15" customHeight="1">
      <c r="B84" s="351"/>
      <c r="C84" s="351"/>
      <c r="D84" s="351"/>
      <c r="E84" s="352"/>
      <c r="F84" s="352"/>
      <c r="G84" s="352"/>
      <c r="H84" s="353"/>
      <c r="I84" s="352"/>
      <c r="J84" s="352"/>
      <c r="K84" s="353"/>
      <c r="L84" s="352"/>
      <c r="M84" s="352"/>
      <c r="N84" s="351"/>
      <c r="O84" s="351"/>
    </row>
  </sheetData>
  <mergeCells count="345">
    <mergeCell ref="B3:B5"/>
    <mergeCell ref="A3:A5"/>
    <mergeCell ref="W7:W30"/>
    <mergeCell ref="W31:W54"/>
    <mergeCell ref="W55:W78"/>
    <mergeCell ref="O75:O76"/>
    <mergeCell ref="R75:R76"/>
    <mergeCell ref="U75:U76"/>
    <mergeCell ref="B77:B78"/>
    <mergeCell ref="C77:C78"/>
    <mergeCell ref="F77:F78"/>
    <mergeCell ref="G77:G78"/>
    <mergeCell ref="I77:I78"/>
    <mergeCell ref="L77:L78"/>
    <mergeCell ref="O77:O78"/>
    <mergeCell ref="B75:B76"/>
    <mergeCell ref="C75:C76"/>
    <mergeCell ref="F75:F76"/>
    <mergeCell ref="G75:G76"/>
    <mergeCell ref="I75:I76"/>
    <mergeCell ref="L75:L76"/>
    <mergeCell ref="R77:R78"/>
    <mergeCell ref="U77:U78"/>
    <mergeCell ref="L71:L72"/>
    <mergeCell ref="O71:O72"/>
    <mergeCell ref="R71:R72"/>
    <mergeCell ref="U71:U72"/>
    <mergeCell ref="B73:B74"/>
    <mergeCell ref="C73:C74"/>
    <mergeCell ref="F73:F74"/>
    <mergeCell ref="G73:G74"/>
    <mergeCell ref="I73:I74"/>
    <mergeCell ref="L73:L74"/>
    <mergeCell ref="O73:O74"/>
    <mergeCell ref="R73:R74"/>
    <mergeCell ref="U73:U74"/>
    <mergeCell ref="O67:O68"/>
    <mergeCell ref="R67:R68"/>
    <mergeCell ref="U67:U68"/>
    <mergeCell ref="B69:B70"/>
    <mergeCell ref="C69:C70"/>
    <mergeCell ref="F69:F70"/>
    <mergeCell ref="G69:G70"/>
    <mergeCell ref="I69:I70"/>
    <mergeCell ref="L69:L70"/>
    <mergeCell ref="O69:O70"/>
    <mergeCell ref="B67:B68"/>
    <mergeCell ref="C67:C68"/>
    <mergeCell ref="F67:F68"/>
    <mergeCell ref="G67:G68"/>
    <mergeCell ref="I67:I68"/>
    <mergeCell ref="L67:L68"/>
    <mergeCell ref="R69:R70"/>
    <mergeCell ref="U69:U70"/>
    <mergeCell ref="L63:L64"/>
    <mergeCell ref="O63:O64"/>
    <mergeCell ref="R63:R64"/>
    <mergeCell ref="U63:U64"/>
    <mergeCell ref="B65:B66"/>
    <mergeCell ref="C65:C66"/>
    <mergeCell ref="F65:F66"/>
    <mergeCell ref="G65:G66"/>
    <mergeCell ref="I65:I66"/>
    <mergeCell ref="L65:L66"/>
    <mergeCell ref="O65:O66"/>
    <mergeCell ref="R65:R66"/>
    <mergeCell ref="U65:U66"/>
    <mergeCell ref="L59:L60"/>
    <mergeCell ref="O59:O60"/>
    <mergeCell ref="R59:R60"/>
    <mergeCell ref="U59:U60"/>
    <mergeCell ref="B61:B62"/>
    <mergeCell ref="C61:C62"/>
    <mergeCell ref="F61:F62"/>
    <mergeCell ref="G61:G62"/>
    <mergeCell ref="I61:I62"/>
    <mergeCell ref="L61:L62"/>
    <mergeCell ref="O61:O62"/>
    <mergeCell ref="R61:R62"/>
    <mergeCell ref="U61:U62"/>
    <mergeCell ref="L55:L56"/>
    <mergeCell ref="O55:O56"/>
    <mergeCell ref="R55:R56"/>
    <mergeCell ref="U55:U56"/>
    <mergeCell ref="B57:B58"/>
    <mergeCell ref="C57:C58"/>
    <mergeCell ref="F57:F58"/>
    <mergeCell ref="G57:G58"/>
    <mergeCell ref="I57:I58"/>
    <mergeCell ref="L57:L58"/>
    <mergeCell ref="O57:O58"/>
    <mergeCell ref="R57:R58"/>
    <mergeCell ref="U57:U58"/>
    <mergeCell ref="A55:A78"/>
    <mergeCell ref="B55:B56"/>
    <mergeCell ref="C55:C56"/>
    <mergeCell ref="F55:F56"/>
    <mergeCell ref="G55:G56"/>
    <mergeCell ref="I55:I56"/>
    <mergeCell ref="B59:B60"/>
    <mergeCell ref="C59:C60"/>
    <mergeCell ref="F59:F60"/>
    <mergeCell ref="G59:G60"/>
    <mergeCell ref="I59:I60"/>
    <mergeCell ref="B63:B64"/>
    <mergeCell ref="C63:C64"/>
    <mergeCell ref="F63:F64"/>
    <mergeCell ref="G63:G64"/>
    <mergeCell ref="I63:I64"/>
    <mergeCell ref="B71:B72"/>
    <mergeCell ref="C71:C72"/>
    <mergeCell ref="F71:F72"/>
    <mergeCell ref="G71:G72"/>
    <mergeCell ref="I71:I72"/>
    <mergeCell ref="O51:O52"/>
    <mergeCell ref="R51:R52"/>
    <mergeCell ref="U51:U52"/>
    <mergeCell ref="B53:B54"/>
    <mergeCell ref="C53:C54"/>
    <mergeCell ref="F53:F54"/>
    <mergeCell ref="G53:G54"/>
    <mergeCell ref="I53:I54"/>
    <mergeCell ref="L53:L54"/>
    <mergeCell ref="O53:O54"/>
    <mergeCell ref="B51:B52"/>
    <mergeCell ref="C51:C52"/>
    <mergeCell ref="F51:F52"/>
    <mergeCell ref="G51:G52"/>
    <mergeCell ref="I51:I52"/>
    <mergeCell ref="L51:L52"/>
    <mergeCell ref="R53:R54"/>
    <mergeCell ref="U53:U54"/>
    <mergeCell ref="L47:L48"/>
    <mergeCell ref="O47:O48"/>
    <mergeCell ref="R47:R48"/>
    <mergeCell ref="U47:U48"/>
    <mergeCell ref="B49:B50"/>
    <mergeCell ref="C49:C50"/>
    <mergeCell ref="F49:F50"/>
    <mergeCell ref="G49:G50"/>
    <mergeCell ref="I49:I50"/>
    <mergeCell ref="L49:L50"/>
    <mergeCell ref="O49:O50"/>
    <mergeCell ref="R49:R50"/>
    <mergeCell ref="U49:U50"/>
    <mergeCell ref="O43:O44"/>
    <mergeCell ref="R43:R44"/>
    <mergeCell ref="U43:U44"/>
    <mergeCell ref="B45:B46"/>
    <mergeCell ref="C45:C46"/>
    <mergeCell ref="F45:F46"/>
    <mergeCell ref="G45:G46"/>
    <mergeCell ref="I45:I46"/>
    <mergeCell ref="L45:L46"/>
    <mergeCell ref="O45:O46"/>
    <mergeCell ref="B43:B44"/>
    <mergeCell ref="C43:C44"/>
    <mergeCell ref="F43:F44"/>
    <mergeCell ref="G43:G44"/>
    <mergeCell ref="I43:I44"/>
    <mergeCell ref="L43:L44"/>
    <mergeCell ref="R45:R46"/>
    <mergeCell ref="U45:U46"/>
    <mergeCell ref="L39:L40"/>
    <mergeCell ref="O39:O40"/>
    <mergeCell ref="R39:R40"/>
    <mergeCell ref="U39:U40"/>
    <mergeCell ref="B41:B42"/>
    <mergeCell ref="C41:C42"/>
    <mergeCell ref="F41:F42"/>
    <mergeCell ref="G41:G42"/>
    <mergeCell ref="I41:I42"/>
    <mergeCell ref="L41:L42"/>
    <mergeCell ref="O41:O42"/>
    <mergeCell ref="R41:R42"/>
    <mergeCell ref="U41:U42"/>
    <mergeCell ref="L35:L36"/>
    <mergeCell ref="O35:O36"/>
    <mergeCell ref="R35:R36"/>
    <mergeCell ref="U35:U36"/>
    <mergeCell ref="B37:B38"/>
    <mergeCell ref="C37:C38"/>
    <mergeCell ref="F37:F38"/>
    <mergeCell ref="G37:G38"/>
    <mergeCell ref="I37:I38"/>
    <mergeCell ref="L37:L38"/>
    <mergeCell ref="O37:O38"/>
    <mergeCell ref="R37:R38"/>
    <mergeCell ref="U37:U38"/>
    <mergeCell ref="L31:L32"/>
    <mergeCell ref="O31:O32"/>
    <mergeCell ref="R31:R32"/>
    <mergeCell ref="U31:U32"/>
    <mergeCell ref="B33:B34"/>
    <mergeCell ref="C33:C34"/>
    <mergeCell ref="F33:F34"/>
    <mergeCell ref="G33:G34"/>
    <mergeCell ref="I33:I34"/>
    <mergeCell ref="L33:L34"/>
    <mergeCell ref="O33:O34"/>
    <mergeCell ref="R33:R34"/>
    <mergeCell ref="U33:U34"/>
    <mergeCell ref="A31:A54"/>
    <mergeCell ref="B31:B32"/>
    <mergeCell ref="C31:C32"/>
    <mergeCell ref="F31:F32"/>
    <mergeCell ref="G31:G32"/>
    <mergeCell ref="I31:I32"/>
    <mergeCell ref="B35:B36"/>
    <mergeCell ref="C35:C36"/>
    <mergeCell ref="F35:F36"/>
    <mergeCell ref="G35:G36"/>
    <mergeCell ref="I35:I36"/>
    <mergeCell ref="B39:B40"/>
    <mergeCell ref="C39:C40"/>
    <mergeCell ref="F39:F40"/>
    <mergeCell ref="G39:G40"/>
    <mergeCell ref="I39:I40"/>
    <mergeCell ref="B47:B48"/>
    <mergeCell ref="C47:C48"/>
    <mergeCell ref="F47:F48"/>
    <mergeCell ref="G47:G48"/>
    <mergeCell ref="I47:I48"/>
    <mergeCell ref="U27:U28"/>
    <mergeCell ref="B29:B30"/>
    <mergeCell ref="C29:C30"/>
    <mergeCell ref="F29:F30"/>
    <mergeCell ref="G29:G30"/>
    <mergeCell ref="I29:I30"/>
    <mergeCell ref="L29:L30"/>
    <mergeCell ref="O29:O30"/>
    <mergeCell ref="B27:B28"/>
    <mergeCell ref="C27:C28"/>
    <mergeCell ref="F27:F28"/>
    <mergeCell ref="G27:G28"/>
    <mergeCell ref="I27:I28"/>
    <mergeCell ref="L27:L28"/>
    <mergeCell ref="R29:R30"/>
    <mergeCell ref="U29:U30"/>
    <mergeCell ref="O27:O28"/>
    <mergeCell ref="R27:R28"/>
    <mergeCell ref="U21:U22"/>
    <mergeCell ref="U23:U24"/>
    <mergeCell ref="B25:B26"/>
    <mergeCell ref="C25:C26"/>
    <mergeCell ref="F25:F26"/>
    <mergeCell ref="G25:G26"/>
    <mergeCell ref="I25:I26"/>
    <mergeCell ref="L25:L26"/>
    <mergeCell ref="O25:O26"/>
    <mergeCell ref="R25:R26"/>
    <mergeCell ref="U25:U26"/>
    <mergeCell ref="B21:B22"/>
    <mergeCell ref="C21:C22"/>
    <mergeCell ref="F21:F22"/>
    <mergeCell ref="G21:G22"/>
    <mergeCell ref="I21:I22"/>
    <mergeCell ref="L21:L22"/>
    <mergeCell ref="O21:O22"/>
    <mergeCell ref="F23:F24"/>
    <mergeCell ref="G23:G24"/>
    <mergeCell ref="I23:I24"/>
    <mergeCell ref="L23:L24"/>
    <mergeCell ref="O23:O24"/>
    <mergeCell ref="R23:R24"/>
    <mergeCell ref="R21:R22"/>
    <mergeCell ref="Z7:Z78"/>
    <mergeCell ref="X7:X30"/>
    <mergeCell ref="Y7:Y30"/>
    <mergeCell ref="X31:X54"/>
    <mergeCell ref="Y31:Y54"/>
    <mergeCell ref="X55:X78"/>
    <mergeCell ref="Y55:Y78"/>
    <mergeCell ref="D3:E3"/>
    <mergeCell ref="D4:E4"/>
    <mergeCell ref="D5:E5"/>
    <mergeCell ref="U7:U8"/>
    <mergeCell ref="F9:F10"/>
    <mergeCell ref="G9:G10"/>
    <mergeCell ref="I9:I10"/>
    <mergeCell ref="Z3:Z6"/>
    <mergeCell ref="D6:E6"/>
    <mergeCell ref="L19:L20"/>
    <mergeCell ref="O13:O14"/>
    <mergeCell ref="R13:R14"/>
    <mergeCell ref="U17:U18"/>
    <mergeCell ref="F15:F16"/>
    <mergeCell ref="G15:G16"/>
    <mergeCell ref="I15:I16"/>
    <mergeCell ref="U9:U10"/>
    <mergeCell ref="F7:F8"/>
    <mergeCell ref="U13:U14"/>
    <mergeCell ref="F11:F12"/>
    <mergeCell ref="G11:G12"/>
    <mergeCell ref="I11:I12"/>
    <mergeCell ref="L11:L12"/>
    <mergeCell ref="O11:O12"/>
    <mergeCell ref="R11:R12"/>
    <mergeCell ref="U11:U12"/>
    <mergeCell ref="R7:R8"/>
    <mergeCell ref="R9:R10"/>
    <mergeCell ref="O15:O16"/>
    <mergeCell ref="R15:R16"/>
    <mergeCell ref="U15:U16"/>
    <mergeCell ref="U19:U20"/>
    <mergeCell ref="I17:I18"/>
    <mergeCell ref="L17:L18"/>
    <mergeCell ref="O17:O18"/>
    <mergeCell ref="R17:R18"/>
    <mergeCell ref="B13:B14"/>
    <mergeCell ref="C13:C14"/>
    <mergeCell ref="F13:F14"/>
    <mergeCell ref="G13:G14"/>
    <mergeCell ref="I13:I14"/>
    <mergeCell ref="L13:L14"/>
    <mergeCell ref="O19:O20"/>
    <mergeCell ref="R19:R20"/>
    <mergeCell ref="B17:B18"/>
    <mergeCell ref="C17:C18"/>
    <mergeCell ref="F17:F18"/>
    <mergeCell ref="G17:G18"/>
    <mergeCell ref="A6:B6"/>
    <mergeCell ref="A7:A30"/>
    <mergeCell ref="C23:C24"/>
    <mergeCell ref="B9:B10"/>
    <mergeCell ref="C9:C10"/>
    <mergeCell ref="G7:G8"/>
    <mergeCell ref="I7:I8"/>
    <mergeCell ref="L7:L8"/>
    <mergeCell ref="O7:O8"/>
    <mergeCell ref="C7:C8"/>
    <mergeCell ref="B23:B24"/>
    <mergeCell ref="L15:L16"/>
    <mergeCell ref="L9:L10"/>
    <mergeCell ref="O9:O10"/>
    <mergeCell ref="B19:B20"/>
    <mergeCell ref="C19:C20"/>
    <mergeCell ref="F19:F20"/>
    <mergeCell ref="G19:G20"/>
    <mergeCell ref="I19:I20"/>
    <mergeCell ref="B7:B8"/>
    <mergeCell ref="B11:B12"/>
    <mergeCell ref="C11:C12"/>
    <mergeCell ref="B15:B16"/>
    <mergeCell ref="C15:C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8" scale="56" orientation="landscape" r:id="rId1"/>
  <ignoredErrors>
    <ignoredError sqref="I8:M8 I7:M7 P7 S7:V7 H79:V88 I10:M10 P13 S9:V78 I9:M9 I12:M12 I11:M11 I14:M14 I13:M13 I16:M16 I15:M15 I18:M18 I17:M17 I37:M78 I19:M19 I20:M20 I21:M22 I23:M24 I25:M26 I27:M28 I29:M30 I31:M32 I33:M34 I35:M36 O8:P8 R8:V8 P9:P12 P17:P78 P14 P15:P16 H8:H76 N8:N77 Q8:Q7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zoomScale="70" zoomScaleNormal="70" workbookViewId="0">
      <selection activeCell="U1" sqref="U1"/>
    </sheetView>
  </sheetViews>
  <sheetFormatPr defaultColWidth="8.875" defaultRowHeight="15.6" customHeight="1"/>
  <cols>
    <col min="1" max="1" width="14.5" style="354" customWidth="1"/>
    <col min="2" max="2" width="15.25" style="354" customWidth="1"/>
    <col min="3" max="3" width="10.75" style="354" customWidth="1"/>
    <col min="4" max="4" width="9.5" style="354" customWidth="1"/>
    <col min="5" max="6" width="8.375" style="67" customWidth="1"/>
    <col min="7" max="7" width="9.5" style="67" customWidth="1"/>
    <col min="8" max="8" width="12.375" style="68" customWidth="1"/>
    <col min="9" max="9" width="17" style="67" customWidth="1"/>
    <col min="10" max="10" width="18.25" style="67" customWidth="1"/>
    <col min="11" max="11" width="12.125" style="68" customWidth="1"/>
    <col min="12" max="12" width="17" style="67" customWidth="1"/>
    <col min="13" max="13" width="18.25" style="67" customWidth="1"/>
    <col min="14" max="14" width="14.25" style="354" customWidth="1"/>
    <col min="15" max="15" width="17" style="354" customWidth="1"/>
    <col min="16" max="16" width="18.25" style="354" customWidth="1"/>
    <col min="17" max="17" width="11.625" style="354" customWidth="1"/>
    <col min="18" max="18" width="17" style="354" customWidth="1"/>
    <col min="19" max="19" width="18.25" style="354" customWidth="1"/>
    <col min="20" max="20" width="11.375" style="354" customWidth="1"/>
    <col min="21" max="21" width="10.25" style="354" customWidth="1"/>
    <col min="22" max="22" width="18.25" style="354" customWidth="1"/>
    <col min="23" max="23" width="14.375" style="354" customWidth="1"/>
    <col min="24" max="24" width="13.375" style="66" customWidth="1"/>
    <col min="25" max="25" width="15.625" style="354" customWidth="1"/>
    <col min="26" max="26" width="17.5" style="354" customWidth="1"/>
    <col min="27" max="16384" width="8.875" style="354"/>
  </cols>
  <sheetData>
    <row r="1" spans="1:26" ht="15.6" customHeight="1">
      <c r="A1" s="354" t="s">
        <v>915</v>
      </c>
      <c r="M1" s="354"/>
      <c r="Z1" s="329"/>
    </row>
    <row r="3" spans="1:26" s="355" customFormat="1" ht="42" customHeight="1">
      <c r="A3" s="600" t="s">
        <v>521</v>
      </c>
      <c r="B3" s="600" t="s">
        <v>522</v>
      </c>
      <c r="C3" s="331" t="s">
        <v>121</v>
      </c>
      <c r="D3" s="588" t="s">
        <v>13</v>
      </c>
      <c r="E3" s="588"/>
      <c r="F3" s="331" t="s">
        <v>620</v>
      </c>
      <c r="G3" s="332" t="s">
        <v>76</v>
      </c>
      <c r="H3" s="333" t="s">
        <v>980</v>
      </c>
      <c r="I3" s="71" t="s">
        <v>981</v>
      </c>
      <c r="J3" s="71" t="s">
        <v>982</v>
      </c>
      <c r="K3" s="333" t="s">
        <v>901</v>
      </c>
      <c r="L3" s="71" t="s">
        <v>902</v>
      </c>
      <c r="M3" s="71" t="s">
        <v>916</v>
      </c>
      <c r="N3" s="333" t="s">
        <v>101</v>
      </c>
      <c r="O3" s="71" t="s">
        <v>102</v>
      </c>
      <c r="P3" s="71" t="s">
        <v>103</v>
      </c>
      <c r="Q3" s="333" t="s">
        <v>917</v>
      </c>
      <c r="R3" s="71" t="s">
        <v>918</v>
      </c>
      <c r="S3" s="71" t="s">
        <v>919</v>
      </c>
      <c r="T3" s="333" t="s">
        <v>104</v>
      </c>
      <c r="U3" s="71" t="s">
        <v>105</v>
      </c>
      <c r="V3" s="71" t="s">
        <v>106</v>
      </c>
      <c r="W3" s="71" t="s">
        <v>107</v>
      </c>
      <c r="X3" s="71" t="s">
        <v>122</v>
      </c>
      <c r="Y3" s="71" t="s">
        <v>107</v>
      </c>
      <c r="Z3" s="583" t="s">
        <v>624</v>
      </c>
    </row>
    <row r="4" spans="1:26" s="355" customFormat="1" ht="25.15" customHeight="1">
      <c r="A4" s="600"/>
      <c r="B4" s="600"/>
      <c r="C4" s="248" t="s">
        <v>563</v>
      </c>
      <c r="D4" s="548" t="s">
        <v>61</v>
      </c>
      <c r="E4" s="548"/>
      <c r="F4" s="164" t="s">
        <v>74</v>
      </c>
      <c r="G4" s="164" t="s">
        <v>77</v>
      </c>
      <c r="H4" s="289" t="s">
        <v>73</v>
      </c>
      <c r="I4" s="244" t="s">
        <v>72</v>
      </c>
      <c r="J4" s="244" t="s">
        <v>71</v>
      </c>
      <c r="K4" s="289" t="s">
        <v>81</v>
      </c>
      <c r="L4" s="244" t="s">
        <v>82</v>
      </c>
      <c r="M4" s="244" t="s">
        <v>83</v>
      </c>
      <c r="N4" s="289" t="s">
        <v>81</v>
      </c>
      <c r="O4" s="244" t="s">
        <v>82</v>
      </c>
      <c r="P4" s="244" t="s">
        <v>83</v>
      </c>
      <c r="Q4" s="289" t="s">
        <v>81</v>
      </c>
      <c r="R4" s="244" t="s">
        <v>82</v>
      </c>
      <c r="S4" s="244" t="s">
        <v>83</v>
      </c>
      <c r="T4" s="289" t="s">
        <v>85</v>
      </c>
      <c r="U4" s="244" t="s">
        <v>87</v>
      </c>
      <c r="V4" s="244" t="s">
        <v>83</v>
      </c>
      <c r="W4" s="244" t="s">
        <v>83</v>
      </c>
      <c r="X4" s="244" t="s">
        <v>110</v>
      </c>
      <c r="Y4" s="244" t="s">
        <v>111</v>
      </c>
      <c r="Z4" s="584"/>
    </row>
    <row r="5" spans="1:26" s="355" customFormat="1" ht="54" customHeight="1">
      <c r="A5" s="600"/>
      <c r="B5" s="600"/>
      <c r="C5" s="356" t="s">
        <v>57</v>
      </c>
      <c r="D5" s="600" t="s">
        <v>60</v>
      </c>
      <c r="E5" s="600"/>
      <c r="F5" s="335" t="s">
        <v>62</v>
      </c>
      <c r="G5" s="335" t="s">
        <v>546</v>
      </c>
      <c r="H5" s="336" t="s">
        <v>75</v>
      </c>
      <c r="I5" s="72" t="s">
        <v>78</v>
      </c>
      <c r="J5" s="337" t="s">
        <v>920</v>
      </c>
      <c r="K5" s="336" t="s">
        <v>548</v>
      </c>
      <c r="L5" s="72" t="s">
        <v>80</v>
      </c>
      <c r="M5" s="337" t="s">
        <v>921</v>
      </c>
      <c r="N5" s="336" t="s">
        <v>537</v>
      </c>
      <c r="O5" s="72" t="s">
        <v>549</v>
      </c>
      <c r="P5" s="337" t="s">
        <v>922</v>
      </c>
      <c r="Q5" s="336" t="s">
        <v>539</v>
      </c>
      <c r="R5" s="72" t="s">
        <v>540</v>
      </c>
      <c r="S5" s="337" t="s">
        <v>923</v>
      </c>
      <c r="T5" s="336" t="s">
        <v>453</v>
      </c>
      <c r="U5" s="72" t="s">
        <v>454</v>
      </c>
      <c r="V5" s="337" t="s">
        <v>719</v>
      </c>
      <c r="W5" s="72" t="s">
        <v>541</v>
      </c>
      <c r="X5" s="213" t="s">
        <v>621</v>
      </c>
      <c r="Y5" s="72" t="s">
        <v>622</v>
      </c>
      <c r="Z5" s="584"/>
    </row>
    <row r="6" spans="1:26" s="355" customFormat="1" ht="36" customHeight="1">
      <c r="A6" s="581" t="s">
        <v>312</v>
      </c>
      <c r="B6" s="582"/>
      <c r="C6" s="338" t="s">
        <v>756</v>
      </c>
      <c r="D6" s="601" t="s">
        <v>509</v>
      </c>
      <c r="E6" s="602"/>
      <c r="F6" s="338" t="s">
        <v>510</v>
      </c>
      <c r="G6" s="338" t="s">
        <v>547</v>
      </c>
      <c r="H6" s="73" t="s">
        <v>492</v>
      </c>
      <c r="I6" s="214" t="s">
        <v>511</v>
      </c>
      <c r="J6" s="214" t="s">
        <v>433</v>
      </c>
      <c r="K6" s="73" t="s">
        <v>434</v>
      </c>
      <c r="L6" s="73" t="s">
        <v>435</v>
      </c>
      <c r="M6" s="214" t="s">
        <v>436</v>
      </c>
      <c r="N6" s="73" t="s">
        <v>492</v>
      </c>
      <c r="O6" s="214" t="s">
        <v>512</v>
      </c>
      <c r="P6" s="214" t="s">
        <v>433</v>
      </c>
      <c r="Q6" s="73" t="s">
        <v>492</v>
      </c>
      <c r="R6" s="214" t="s">
        <v>513</v>
      </c>
      <c r="S6" s="214" t="s">
        <v>437</v>
      </c>
      <c r="T6" s="73" t="s">
        <v>492</v>
      </c>
      <c r="U6" s="340" t="s">
        <v>317</v>
      </c>
      <c r="V6" s="214" t="s">
        <v>438</v>
      </c>
      <c r="W6" s="340" t="s">
        <v>609</v>
      </c>
      <c r="X6" s="214" t="s">
        <v>757</v>
      </c>
      <c r="Y6" s="340" t="s">
        <v>609</v>
      </c>
      <c r="Z6" s="585"/>
    </row>
    <row r="7" spans="1:26" ht="15.6" customHeight="1">
      <c r="A7" s="603" t="s">
        <v>924</v>
      </c>
      <c r="B7" s="588" t="s">
        <v>45</v>
      </c>
      <c r="C7" s="586">
        <f>'ｼｰﾄNO.3（表-3）59頁'!$F$30</f>
        <v>9</v>
      </c>
      <c r="D7" s="216" t="s">
        <v>65</v>
      </c>
      <c r="E7" s="342">
        <f>'ｼｰﾄNO.4（表-4）60頁'!G6</f>
        <v>775.19999999999993</v>
      </c>
      <c r="F7" s="590">
        <f>'ｼｰﾄNO.4（表-4）60頁'!C6/1000</f>
        <v>1.054</v>
      </c>
      <c r="G7" s="590">
        <f>'ｼｰﾄNO.4（表-4）60頁'!C6/1000/('ｼｰﾄNO.4（表-4）60頁'!D6/3600)</f>
        <v>29.413953488372094</v>
      </c>
      <c r="H7" s="219">
        <f>-2.71095565/G7-0.09453616*G7+0.00089493*G7^2+3.15403637</f>
        <v>1.0554646514177595</v>
      </c>
      <c r="I7" s="592">
        <v>10000</v>
      </c>
      <c r="J7" s="343">
        <f>C7*E7*F7*H7/1000000*I7</f>
        <v>77.614091321320416</v>
      </c>
      <c r="K7" s="219">
        <f>1501.20185/G7-2.40935*G7+0.02115*G7^2+174.47635</f>
        <v>172.94347691075419</v>
      </c>
      <c r="L7" s="592">
        <v>2891</v>
      </c>
      <c r="M7" s="343">
        <f>C7*E7*F7*K7/1000000*L7</f>
        <v>3676.623526962931</v>
      </c>
      <c r="N7" s="219">
        <f>-0.25063622/G7-0.00657231*G7+0.00005332*G7^2+0.29056757</f>
        <v>0.13486038477096629</v>
      </c>
      <c r="O7" s="592">
        <v>840100</v>
      </c>
      <c r="P7" s="343">
        <f>C7*E7*F7*N7/1000000*O7</f>
        <v>833.12902227219013</v>
      </c>
      <c r="Q7" s="219">
        <f>0.093055673/G7-0.0002682273*G7+0.00000218*G7^2+0.0173678037</f>
        <v>1.4527929658914706E-2</v>
      </c>
      <c r="R7" s="592">
        <v>482200</v>
      </c>
      <c r="S7" s="343">
        <f>C7*E7*F7*Q7/1000000*R7</f>
        <v>51.514301899475647</v>
      </c>
      <c r="T7" s="219">
        <f>0.630901162/G7-0.001006579*G7+0.000008915*G7^2+0.0072170055</f>
        <v>6.7716664940150866E-3</v>
      </c>
      <c r="U7" s="592">
        <v>160</v>
      </c>
      <c r="V7" s="343">
        <f>C7*E7*F7*T7*U7</f>
        <v>7967.323069823753</v>
      </c>
      <c r="W7" s="597">
        <f>SUM(J7:J30)+SUM(M7:M30)+SUM(P7:P30)+SUM(S7:S30)+SUM(V7:V30)</f>
        <v>145570.6322827166</v>
      </c>
      <c r="X7" s="597">
        <f>'ｼｰﾄNO.3（表-3）59頁'!F32</f>
        <v>11</v>
      </c>
      <c r="Y7" s="597">
        <f>W7*X7</f>
        <v>1601276.9551098826</v>
      </c>
      <c r="Z7" s="607">
        <f>SUM(Y:Y)</f>
        <v>10361238.317735417</v>
      </c>
    </row>
    <row r="8" spans="1:26" ht="15.6" customHeight="1">
      <c r="A8" s="604"/>
      <c r="B8" s="589"/>
      <c r="C8" s="587"/>
      <c r="D8" s="217" t="s">
        <v>66</v>
      </c>
      <c r="E8" s="344">
        <f>'ｼｰﾄNO.4（表-4）60頁'!G7</f>
        <v>40.800000000000004</v>
      </c>
      <c r="F8" s="591"/>
      <c r="G8" s="591"/>
      <c r="H8" s="218">
        <f>12.28697452/G7-0.05907844*G7+0.00051753*G7^2+2.69979197</f>
        <v>1.8275444776395025</v>
      </c>
      <c r="I8" s="593"/>
      <c r="J8" s="345">
        <f>C7*E8*F7*H8/1000000*I7</f>
        <v>7.0731234612744354</v>
      </c>
      <c r="K8" s="218">
        <f>908.52069/G7-23.49889*G7+0.18396*G7^2+1364.81344</f>
        <v>863.66422155382952</v>
      </c>
      <c r="L8" s="593"/>
      <c r="M8" s="345">
        <f>C7*E8*F7*K8/1000000*L7</f>
        <v>966.35412274020882</v>
      </c>
      <c r="N8" s="218">
        <f>9.45345681/G7-0.14325844*G7+0.00124097*G7^2+5.98054622</f>
        <v>3.1618059863109744</v>
      </c>
      <c r="O8" s="593"/>
      <c r="P8" s="345">
        <f>C7*E8*F7*N8/1000000*O7</f>
        <v>1028.0387514380641</v>
      </c>
      <c r="Q8" s="218">
        <f>0.6037810576/G7-0.0052863845*G7+0.000423961*G7^2+0.3189943526</f>
        <v>0.55083077087724097</v>
      </c>
      <c r="R8" s="593"/>
      <c r="S8" s="345">
        <f>C7*E8*F7*Q8/1000000*R7</f>
        <v>102.79895090169543</v>
      </c>
      <c r="T8" s="218">
        <f>0.2877659/G7-0.008903887*G7+0.000069093*G7^2+0.516185391</f>
        <v>0.323848112784486</v>
      </c>
      <c r="U8" s="593"/>
      <c r="V8" s="345">
        <f>C7*E8*F7*T8*U7</f>
        <v>20054.167435719086</v>
      </c>
      <c r="W8" s="598"/>
      <c r="X8" s="598"/>
      <c r="Y8" s="598"/>
      <c r="Z8" s="608"/>
    </row>
    <row r="9" spans="1:26" ht="15.6" customHeight="1">
      <c r="A9" s="604"/>
      <c r="B9" s="588" t="s">
        <v>46</v>
      </c>
      <c r="C9" s="586">
        <f>'ｼｰﾄNO.3（表-3）59頁'!$F$30</f>
        <v>9</v>
      </c>
      <c r="D9" s="216" t="s">
        <v>65</v>
      </c>
      <c r="E9" s="342">
        <f>'ｼｰﾄNO.4（表-4）60頁'!G8</f>
        <v>149.15</v>
      </c>
      <c r="F9" s="610">
        <f>'ｼｰﾄNO.4（表-4）60頁'!C8/1000</f>
        <v>0.76100000000000001</v>
      </c>
      <c r="G9" s="590">
        <f>'ｼｰﾄNO.4（表-4）60頁'!C8/1000/('ｼｰﾄNO.4（表-4）60頁'!D8/3600)</f>
        <v>28.243298969072164</v>
      </c>
      <c r="H9" s="219">
        <f>-2.71095565/G9-0.09453616*G9+0.00089493*G9^2+3.15403637</f>
        <v>1.1019088250288087</v>
      </c>
      <c r="I9" s="592">
        <v>10000</v>
      </c>
      <c r="J9" s="343">
        <f t="shared" ref="J9" si="0">C9*E9*F9*H9/1000000*I9</f>
        <v>11.256311038821179</v>
      </c>
      <c r="K9" s="219">
        <f t="shared" ref="K9" si="1">1501.20185/G9-2.40935*G9+0.02115*G9^2+174.47635</f>
        <v>176.45186940323833</v>
      </c>
      <c r="L9" s="592">
        <v>2891</v>
      </c>
      <c r="M9" s="343">
        <f t="shared" ref="M9" si="2">C9*E9*F9*K9/1000000*L9</f>
        <v>521.10444703407302</v>
      </c>
      <c r="N9" s="219">
        <f>-0.25063622/G9-0.00657231*G9+0.00005332*G9^2+0.29056757</f>
        <v>0.13860217767355143</v>
      </c>
      <c r="O9" s="592">
        <v>840100</v>
      </c>
      <c r="P9" s="343">
        <f t="shared" ref="P9" si="3">C9*E9*F9*N9/1000000*O9</f>
        <v>118.94644385221321</v>
      </c>
      <c r="Q9" s="219">
        <f>0.093055673/G9-0.0002682273*G9+0.00000218*G9^2+0.0173678037</f>
        <v>1.4825918519141416E-2</v>
      </c>
      <c r="R9" s="592">
        <v>482200</v>
      </c>
      <c r="S9" s="343">
        <f t="shared" ref="S9" si="4">C9*E9*F9*Q9/1000000*R9</f>
        <v>7.3029653307852334</v>
      </c>
      <c r="T9" s="219">
        <f t="shared" ref="T9" si="5">0.630901162/G9-0.001006579*G9+0.000008915*G9^2+0.0072170055</f>
        <v>8.237329354738903E-3</v>
      </c>
      <c r="U9" s="592">
        <v>160</v>
      </c>
      <c r="V9" s="343">
        <f t="shared" ref="V9" si="6">C9*E9*F9*T9*U9</f>
        <v>1346.3464742644796</v>
      </c>
      <c r="W9" s="598"/>
      <c r="X9" s="598"/>
      <c r="Y9" s="598"/>
      <c r="Z9" s="608"/>
    </row>
    <row r="10" spans="1:26" ht="15.6" customHeight="1">
      <c r="A10" s="604"/>
      <c r="B10" s="589"/>
      <c r="C10" s="587"/>
      <c r="D10" s="217" t="s">
        <v>66</v>
      </c>
      <c r="E10" s="344">
        <f>'ｼｰﾄNO.4（表-4）60頁'!G9</f>
        <v>7.8500000000000005</v>
      </c>
      <c r="F10" s="611"/>
      <c r="G10" s="591"/>
      <c r="H10" s="218">
        <f>12.28697452/G9-0.05907844*G9+0.00051753*G9^2+2.69979197</f>
        <v>1.8790876389278492</v>
      </c>
      <c r="I10" s="593"/>
      <c r="J10" s="345">
        <f t="shared" ref="J10" si="7">C9*E10*F9*H10/1000000*I9</f>
        <v>1.0102848922628218</v>
      </c>
      <c r="K10" s="218">
        <f t="shared" ref="K10" si="8">908.52069/G9-23.49889*G9+0.18396*G9^2+1364.81344</f>
        <v>880.03685601753784</v>
      </c>
      <c r="L10" s="593"/>
      <c r="M10" s="345">
        <f t="shared" ref="M10" si="9">C9*E10*F9*K10/1000000*L9</f>
        <v>136.78729943560367</v>
      </c>
      <c r="N10" s="218">
        <f>9.45345681/G9-0.14325844*G9+0.00124097*G9^2+5.98054622</f>
        <v>3.2590721393592696</v>
      </c>
      <c r="O10" s="593"/>
      <c r="P10" s="345">
        <f t="shared" ref="P10" si="10">C9*E10*F9*N10/1000000*O9</f>
        <v>147.20473552110772</v>
      </c>
      <c r="Q10" s="218">
        <f>0.6037810576/G9-0.0052863845*G9+0.000423961*G9^2+0.3189943526</f>
        <v>0.52925414589531927</v>
      </c>
      <c r="R10" s="593"/>
      <c r="S10" s="345">
        <f t="shared" ref="S10" si="11">C9*E10*F9*Q10/1000000*R9</f>
        <v>13.721080039866418</v>
      </c>
      <c r="T10" s="218">
        <f t="shared" ref="T10" si="12">0.2877659/G9-0.008903887*G9+0.000069093*G9^2+0.516185391</f>
        <v>0.33001344508280239</v>
      </c>
      <c r="U10" s="593"/>
      <c r="V10" s="345">
        <f t="shared" ref="V10" si="13">C9*E10*F9*T10*U9</f>
        <v>2838.8891792273753</v>
      </c>
      <c r="W10" s="598"/>
      <c r="X10" s="598"/>
      <c r="Y10" s="598"/>
      <c r="Z10" s="608"/>
    </row>
    <row r="11" spans="1:26" ht="15.6" customHeight="1">
      <c r="A11" s="604"/>
      <c r="B11" s="588" t="s">
        <v>47</v>
      </c>
      <c r="C11" s="586">
        <f>'ｼｰﾄNO.3（表-3）59頁'!$F$30</f>
        <v>9</v>
      </c>
      <c r="D11" s="216" t="s">
        <v>65</v>
      </c>
      <c r="E11" s="342">
        <f>'ｼｰﾄNO.4（表-4）60頁'!G10</f>
        <v>38</v>
      </c>
      <c r="F11" s="590">
        <f>'ｼｰﾄNO.4（表-4）60頁'!C10/1000</f>
        <v>0.82399999999999995</v>
      </c>
      <c r="G11" s="590">
        <f>'ｼｰﾄNO.4（表-4）60頁'!C10/1000/('ｼｰﾄNO.4（表-4）60頁'!D10/3600)</f>
        <v>23.92258064516129</v>
      </c>
      <c r="H11" s="219">
        <f>-2.71095565/G11-0.09453616*G11+0.00089493*G11^2+3.15403637</f>
        <v>1.2913247867681457</v>
      </c>
      <c r="I11" s="592">
        <v>10000</v>
      </c>
      <c r="J11" s="343">
        <f t="shared" ref="J11" si="14">C11*E11*F11*H11/1000000*I11</f>
        <v>3.6390565550955758</v>
      </c>
      <c r="K11" s="219">
        <f t="shared" ref="K11" si="15">1501.20185/G11-2.40935*G11+0.02115*G11^2+174.47635</f>
        <v>191.69491547875842</v>
      </c>
      <c r="L11" s="592">
        <v>2891</v>
      </c>
      <c r="M11" s="343">
        <f t="shared" ref="M11" si="16">C11*E11*F11*K11/1000000*L11</f>
        <v>156.17517570291892</v>
      </c>
      <c r="N11" s="219">
        <f>-0.25063622/G11-0.00657231*G11+0.00005332*G11^2+0.29056757</f>
        <v>0.15337847706821867</v>
      </c>
      <c r="O11" s="592">
        <v>840100</v>
      </c>
      <c r="P11" s="343">
        <f t="shared" ref="P11" si="17">C11*E11*F11*N11/1000000*O11</f>
        <v>36.311879095324642</v>
      </c>
      <c r="Q11" s="219">
        <f>0.093055673/G11-0.0002682273*G11+0.00000218*G11^2+0.0173678037</f>
        <v>1.608857405816946E-2</v>
      </c>
      <c r="R11" s="592">
        <v>482200</v>
      </c>
      <c r="S11" s="343">
        <f t="shared" ref="S11" si="18">C11*E11*F11*Q11/1000000*R11</f>
        <v>2.1862412170606236</v>
      </c>
      <c r="T11" s="219">
        <f t="shared" ref="T11" si="19">0.630901162/G11-0.001006579*G11+0.000008915*G11^2+0.0072170055</f>
        <v>1.4611623729679732E-2</v>
      </c>
      <c r="U11" s="592">
        <v>160</v>
      </c>
      <c r="V11" s="343">
        <f t="shared" ref="V11" si="20">C11*E11*F11*T11*U11</f>
        <v>658.82759360217381</v>
      </c>
      <c r="W11" s="598"/>
      <c r="X11" s="598"/>
      <c r="Y11" s="598"/>
      <c r="Z11" s="608"/>
    </row>
    <row r="12" spans="1:26" ht="15.6" customHeight="1">
      <c r="A12" s="604"/>
      <c r="B12" s="589"/>
      <c r="C12" s="587"/>
      <c r="D12" s="217" t="s">
        <v>66</v>
      </c>
      <c r="E12" s="344">
        <f>'ｼｰﾄNO.4（表-4）60頁'!G11</f>
        <v>2</v>
      </c>
      <c r="F12" s="591"/>
      <c r="G12" s="591"/>
      <c r="H12" s="218">
        <f>12.28697452/G11-0.05907844*G11+0.00051753*G11^2+2.69979197</f>
        <v>2.0962744897164898</v>
      </c>
      <c r="I12" s="593"/>
      <c r="J12" s="345">
        <f t="shared" ref="J12" si="21">C11*E12*F11*H12/1000000*I11</f>
        <v>0.31091943231474972</v>
      </c>
      <c r="K12" s="218">
        <f t="shared" ref="K12" si="22">908.52069/G11-23.49889*G11+0.18396*G11^2+1364.81344</f>
        <v>945.91532935155487</v>
      </c>
      <c r="L12" s="593"/>
      <c r="M12" s="345">
        <f t="shared" ref="M12" si="23">C11*E12*F11*K12/1000000*L11</f>
        <v>40.560198532848077</v>
      </c>
      <c r="N12" s="218">
        <f>9.45345681/G11-0.14325844*G11+0.00124097*G11^2+5.98054622</f>
        <v>3.6587979611501487</v>
      </c>
      <c r="O12" s="593"/>
      <c r="P12" s="345">
        <f t="shared" ref="P12" si="24">C11*E12*F11*N12/1000000*O11</f>
        <v>45.589951471350339</v>
      </c>
      <c r="Q12" s="218">
        <f>0.6037810576/G11-0.0052863845*G11+0.000423961*G11^2+0.3189943526</f>
        <v>0.46039793648265764</v>
      </c>
      <c r="R12" s="593"/>
      <c r="S12" s="345">
        <f t="shared" ref="S12" si="25">C11*E12*F11*Q12/1000000*R11</f>
        <v>3.292761621903777</v>
      </c>
      <c r="T12" s="218">
        <f t="shared" ref="T12" si="26">0.2877659/G11-0.008903887*G11+0.000069093*G11^2+0.516185391</f>
        <v>0.35475170902839637</v>
      </c>
      <c r="U12" s="593"/>
      <c r="V12" s="345">
        <f t="shared" ref="V12" si="27">C11*E12*F11*T12*U11</f>
        <v>841.86837572946786</v>
      </c>
      <c r="W12" s="598"/>
      <c r="X12" s="598"/>
      <c r="Y12" s="598"/>
      <c r="Z12" s="608"/>
    </row>
    <row r="13" spans="1:26" ht="15.6" customHeight="1">
      <c r="A13" s="604"/>
      <c r="B13" s="588" t="s">
        <v>48</v>
      </c>
      <c r="C13" s="586">
        <f>'ｼｰﾄNO.3（表-3）59頁'!$F$30</f>
        <v>9</v>
      </c>
      <c r="D13" s="216" t="s">
        <v>65</v>
      </c>
      <c r="E13" s="342">
        <f>'ｼｰﾄNO.4（表-4）60頁'!G12</f>
        <v>755.25</v>
      </c>
      <c r="F13" s="590">
        <f>'ｼｰﾄNO.4（表-4）60頁'!C12/1000</f>
        <v>1.054</v>
      </c>
      <c r="G13" s="590">
        <f>'ｼｰﾄNO.4（表-4）60頁'!C12/1000/('ｼｰﾄNO.4（表-4）60頁'!D12/3600)</f>
        <v>28.964885496183207</v>
      </c>
      <c r="H13" s="219">
        <f>-2.71095565/G13-0.09453616*G13+0.00089493*G13^2+3.15403637</f>
        <v>1.0730273446881111</v>
      </c>
      <c r="I13" s="592">
        <v>10000</v>
      </c>
      <c r="J13" s="343">
        <f t="shared" ref="J13" si="28">C13*E13*F13*H13/1000000*I13</f>
        <v>76.874914150900523</v>
      </c>
      <c r="K13" s="219">
        <f t="shared" ref="K13" si="29">1501.20185/G13-2.40935*G13+0.02115*G13^2+174.47635</f>
        <v>174.26224136171157</v>
      </c>
      <c r="L13" s="592">
        <v>2891</v>
      </c>
      <c r="M13" s="343">
        <f t="shared" ref="M13" si="30">C13*E13*F13*K13/1000000*L13</f>
        <v>3609.31878269048</v>
      </c>
      <c r="N13" s="219">
        <f>-0.25063622/G13-0.00657231*G13+0.00005332*G13^2+0.29056757</f>
        <v>0.1362818495942732</v>
      </c>
      <c r="O13" s="592">
        <v>840100</v>
      </c>
      <c r="P13" s="343">
        <f t="shared" ref="P13" si="31">C13*E13*F13*N13/1000000*O13</f>
        <v>820.24361438160884</v>
      </c>
      <c r="Q13" s="219">
        <f>0.093055673/G13-0.0002682273*G13+0.00000218*G13^2+0.0173678037</f>
        <v>1.4640279878383174E-2</v>
      </c>
      <c r="R13" s="592">
        <v>482200</v>
      </c>
      <c r="S13" s="343">
        <f t="shared" ref="S13" si="32">C13*E13*F13*Q13/1000000*R13</f>
        <v>50.576694198702661</v>
      </c>
      <c r="T13" s="219">
        <f t="shared" ref="T13" si="33">0.630901162/G13-0.001006579*G13+0.000008915*G13^2+0.0072170055</f>
        <v>7.3225159652020536E-3</v>
      </c>
      <c r="U13" s="592">
        <v>160</v>
      </c>
      <c r="V13" s="343">
        <f t="shared" ref="V13" si="34">C13*E13*F13*T13*U13</f>
        <v>8393.7139381233628</v>
      </c>
      <c r="W13" s="598"/>
      <c r="X13" s="598"/>
      <c r="Y13" s="598"/>
      <c r="Z13" s="608"/>
    </row>
    <row r="14" spans="1:26" ht="15.6" customHeight="1">
      <c r="A14" s="604"/>
      <c r="B14" s="589"/>
      <c r="C14" s="587"/>
      <c r="D14" s="217" t="s">
        <v>66</v>
      </c>
      <c r="E14" s="344">
        <f>'ｼｰﾄNO.4（表-4）60頁'!G13</f>
        <v>39.75</v>
      </c>
      <c r="F14" s="591"/>
      <c r="G14" s="591"/>
      <c r="H14" s="218">
        <f>12.28697452/G13-0.05907844*G13+0.00051753*G13^2+2.69979197</f>
        <v>1.8469834852183058</v>
      </c>
      <c r="I14" s="593"/>
      <c r="J14" s="345">
        <f t="shared" ref="J14" si="35">C13*E14*F13*H14/1000000*I13</f>
        <v>6.9643929229603883</v>
      </c>
      <c r="K14" s="218">
        <f t="shared" ref="K14" si="36">908.52069/G13-23.49889*G13+0.18396*G13^2+1364.81344</f>
        <v>869.87298752783181</v>
      </c>
      <c r="L14" s="593"/>
      <c r="M14" s="345">
        <f t="shared" ref="M14" si="37">C13*E14*F13*K14/1000000*L13</f>
        <v>948.25292220977224</v>
      </c>
      <c r="N14" s="218">
        <f>9.45345681/G13-0.14325844*G13+0.00124097*G13^2+5.98054622</f>
        <v>3.1985882591353736</v>
      </c>
      <c r="O14" s="593"/>
      <c r="P14" s="345">
        <f t="shared" ref="P14" si="38">C13*E14*F13*N14/1000000*O13</f>
        <v>1013.23358535912</v>
      </c>
      <c r="Q14" s="218">
        <f>0.6037810576/G13-0.0052863845*G13+0.000423961*G13^2+0.3189943526</f>
        <v>0.54240837504317518</v>
      </c>
      <c r="R14" s="593"/>
      <c r="S14" s="345">
        <f t="shared" ref="S14" si="39">C13*E14*F13*Q14/1000000*R13</f>
        <v>98.622009182387345</v>
      </c>
      <c r="T14" s="218">
        <f t="shared" ref="T14" si="40">0.2877659/G13-0.008903887*G13+0.000069093*G13^2+0.516185391</f>
        <v>0.32618689591947797</v>
      </c>
      <c r="U14" s="593"/>
      <c r="V14" s="345">
        <f t="shared" ref="V14" si="41">C13*E14*F13*T14*U13</f>
        <v>19679.168570242189</v>
      </c>
      <c r="W14" s="598"/>
      <c r="X14" s="598"/>
      <c r="Y14" s="598"/>
      <c r="Z14" s="608"/>
    </row>
    <row r="15" spans="1:26" ht="15.6" customHeight="1">
      <c r="A15" s="604"/>
      <c r="B15" s="588" t="s">
        <v>49</v>
      </c>
      <c r="C15" s="586">
        <f>'ｼｰﾄNO.3（表-3）59頁'!$F$30</f>
        <v>9</v>
      </c>
      <c r="D15" s="216" t="s">
        <v>65</v>
      </c>
      <c r="E15" s="342">
        <f>'ｼｰﾄNO.4（表-4）60頁'!G14</f>
        <v>38</v>
      </c>
      <c r="F15" s="590">
        <f>'ｼｰﾄNO.4（表-4）60頁'!C14/1000</f>
        <v>0.84799999999999998</v>
      </c>
      <c r="G15" s="590">
        <f>'ｼｰﾄNO.4（表-4）60頁'!C14/1000/('ｼｰﾄNO.4（表-4）60頁'!D14/3600)</f>
        <v>23.849999999999998</v>
      </c>
      <c r="H15" s="219">
        <f>-2.71095565/G15-0.09453616*G15+0.00089493*G15^2+3.15403637</f>
        <v>1.2947383703610593</v>
      </c>
      <c r="I15" s="592">
        <v>10000</v>
      </c>
      <c r="J15" s="343">
        <f t="shared" ref="J15" si="42">C15*E15*F15*H15/1000000*I15</f>
        <v>3.7549484321863296</v>
      </c>
      <c r="K15" s="219">
        <f t="shared" ref="K15" si="43">1501.20185/G15-2.40935*G15+0.02115*G15^2+174.47635</f>
        <v>191.98742216954926</v>
      </c>
      <c r="L15" s="592">
        <v>2891</v>
      </c>
      <c r="M15" s="343">
        <f t="shared" ref="M15" si="44">C15*E15*F15*K15/1000000*L15</f>
        <v>160.96921544292829</v>
      </c>
      <c r="N15" s="219">
        <f>-0.25063622/G15-0.00657231*G15+0.00005332*G15^2+0.29056757</f>
        <v>0.15363873601551364</v>
      </c>
      <c r="O15" s="592">
        <v>840100</v>
      </c>
      <c r="P15" s="343">
        <f t="shared" ref="P15" si="45">C15*E15*F15*N15/1000000*O15</f>
        <v>37.432916767157607</v>
      </c>
      <c r="Q15" s="219">
        <f>0.093055673/G15-0.0002682273*G15+0.00000218*G15^2+0.0173678037</f>
        <v>1.6112321011876311E-2</v>
      </c>
      <c r="R15" s="592">
        <v>482200</v>
      </c>
      <c r="S15" s="343">
        <f t="shared" ref="S15" si="46">C15*E15*F15*Q15/1000000*R15</f>
        <v>2.2532390554378305</v>
      </c>
      <c r="T15" s="219">
        <f t="shared" ref="T15" si="47">0.630901162/G15-0.001006579*G15+0.000008915*G15^2+0.0072170055</f>
        <v>1.473402784735325E-2</v>
      </c>
      <c r="U15" s="592">
        <v>160</v>
      </c>
      <c r="V15" s="343">
        <f t="shared" ref="V15" si="48">C15*E15*F15*T15*U15</f>
        <v>683.69661122848015</v>
      </c>
      <c r="W15" s="598"/>
      <c r="X15" s="598"/>
      <c r="Y15" s="598"/>
      <c r="Z15" s="608"/>
    </row>
    <row r="16" spans="1:26" ht="15.6" customHeight="1">
      <c r="A16" s="604"/>
      <c r="B16" s="589"/>
      <c r="C16" s="587"/>
      <c r="D16" s="217" t="s">
        <v>66</v>
      </c>
      <c r="E16" s="344">
        <f>'ｼｰﾄNO.4（表-4）60頁'!G15</f>
        <v>2</v>
      </c>
      <c r="F16" s="591"/>
      <c r="G16" s="591"/>
      <c r="H16" s="218">
        <f>12.28697452/G15-0.05907844*G15+0.00051753*G15^2+2.69979197</f>
        <v>2.1003310131461741</v>
      </c>
      <c r="I16" s="593"/>
      <c r="J16" s="345">
        <f t="shared" ref="J16" si="49">C15*E16*F15*H16/1000000*I15</f>
        <v>0.32059452584663201</v>
      </c>
      <c r="K16" s="218">
        <f t="shared" ref="K16" si="50">908.52069/G15-23.49889*G15+0.18396*G15^2+1364.81344</f>
        <v>947.09861129182377</v>
      </c>
      <c r="L16" s="593"/>
      <c r="M16" s="345">
        <f t="shared" ref="M16" si="51">C15*E16*F15*K16/1000000*L15</f>
        <v>41.793779669174526</v>
      </c>
      <c r="N16" s="218">
        <f>9.45345681/G15-0.14325844*G15+0.00124097*G15^2+5.98054622</f>
        <v>3.6660954385419817</v>
      </c>
      <c r="O16" s="593"/>
      <c r="P16" s="345">
        <f t="shared" ref="P16" si="52">C15*E16*F15*N16/1000000*O15</f>
        <v>47.011391778157432</v>
      </c>
      <c r="Q16" s="218">
        <f>0.6037810576/G15-0.0052863845*G15+0.000423961*G15^2+0.3189943526</f>
        <v>0.45938840581175572</v>
      </c>
      <c r="R16" s="593"/>
      <c r="S16" s="345">
        <f t="shared" ref="S16" si="53">C15*E16*F15*Q16/1000000*R15</f>
        <v>3.3812368508069901</v>
      </c>
      <c r="T16" s="218">
        <f t="shared" ref="T16" si="54">0.2877659/G15-0.008903887*G15+0.000069093*G15^2+0.516185391</f>
        <v>0.35519499522698644</v>
      </c>
      <c r="U16" s="593"/>
      <c r="V16" s="345">
        <f t="shared" ref="V16" si="55">C15*E16*F15*T16*U15</f>
        <v>867.47142514315533</v>
      </c>
      <c r="W16" s="598"/>
      <c r="X16" s="598"/>
      <c r="Y16" s="598"/>
      <c r="Z16" s="608"/>
    </row>
    <row r="17" spans="1:26" ht="15.6" customHeight="1">
      <c r="A17" s="604"/>
      <c r="B17" s="588" t="s">
        <v>50</v>
      </c>
      <c r="C17" s="586">
        <f>'ｼｰﾄNO.3（表-3）59頁'!$F$30</f>
        <v>9</v>
      </c>
      <c r="D17" s="216" t="s">
        <v>65</v>
      </c>
      <c r="E17" s="342">
        <f>'ｼｰﾄNO.4（表-4）60頁'!G16</f>
        <v>145.35</v>
      </c>
      <c r="F17" s="590">
        <f>'ｼｰﾄNO.4（表-4）60頁'!C16/1000</f>
        <v>0.91</v>
      </c>
      <c r="G17" s="590">
        <f>'ｼｰﾄNO.4（表-4）60頁'!C16/1000/('ｼｰﾄNO.4（表-4）60頁'!D16/3600)</f>
        <v>28.991150442477878</v>
      </c>
      <c r="H17" s="219">
        <f>-2.71095565/G17-0.09453616*G17+0.00089493*G17^2+3.15403637</f>
        <v>1.0719914241860904</v>
      </c>
      <c r="I17" s="592">
        <v>10000</v>
      </c>
      <c r="J17" s="343">
        <f t="shared" ref="J17" si="56">C17*E17*F17*H17/1000000*I17</f>
        <v>12.761162792096208</v>
      </c>
      <c r="K17" s="219">
        <f t="shared" ref="K17" si="57">1501.20185/G17-2.40935*G17+0.02115*G17^2+174.47635</f>
        <v>174.18420007945377</v>
      </c>
      <c r="L17" s="592">
        <v>2891</v>
      </c>
      <c r="M17" s="343">
        <f t="shared" ref="M17" si="58">C17*E17*F17*K17/1000000*L17</f>
        <v>599.45389714793589</v>
      </c>
      <c r="N17" s="219">
        <f>-0.25063622/G17-0.00657231*G17+0.00005332*G17^2+0.29056757</f>
        <v>0.13619823198274428</v>
      </c>
      <c r="O17" s="592">
        <v>840100</v>
      </c>
      <c r="P17" s="343">
        <f t="shared" ref="P17" si="59">C17*E17*F17*N17/1000000*O17</f>
        <v>136.20761626565496</v>
      </c>
      <c r="Q17" s="219">
        <f>0.093055673/G17-0.0002682273*G17+0.00000218*G17^2+0.0173678037</f>
        <v>1.4633642728096287E-2</v>
      </c>
      <c r="R17" s="592">
        <v>482200</v>
      </c>
      <c r="S17" s="343">
        <f t="shared" ref="S17" si="60">C17*E17*F17*Q17/1000000*R17</f>
        <v>8.3999865696117872</v>
      </c>
      <c r="T17" s="219">
        <f t="shared" ref="T17" si="61">0.630901162/G17-0.001006579*G17+0.000008915*G17^2+0.0072170055</f>
        <v>7.2899154042381309E-3</v>
      </c>
      <c r="U17" s="592">
        <v>160</v>
      </c>
      <c r="V17" s="343">
        <f t="shared" ref="V17" si="62">C17*E17*F17*T17*U17</f>
        <v>1388.4856929294783</v>
      </c>
      <c r="W17" s="598"/>
      <c r="X17" s="598"/>
      <c r="Y17" s="598"/>
      <c r="Z17" s="608"/>
    </row>
    <row r="18" spans="1:26" ht="15.6" customHeight="1">
      <c r="A18" s="604"/>
      <c r="B18" s="589"/>
      <c r="C18" s="587"/>
      <c r="D18" s="217" t="s">
        <v>66</v>
      </c>
      <c r="E18" s="344">
        <f>'ｼｰﾄNO.4（表-4）60頁'!G17</f>
        <v>7.65</v>
      </c>
      <c r="F18" s="591"/>
      <c r="G18" s="591"/>
      <c r="H18" s="218">
        <f>12.28697452/G17-0.05907844*G17+0.00051753*G17^2+2.69979197</f>
        <v>1.8458352713961288</v>
      </c>
      <c r="I18" s="593"/>
      <c r="J18" s="345">
        <f t="shared" ref="J18" si="63">C17*E18*F17*H18/1000000*I17</f>
        <v>1.1564804017641737</v>
      </c>
      <c r="K18" s="218">
        <f t="shared" ref="K18" si="64">908.52069/G17-23.49889*G17+0.18396*G17^2+1364.81344</f>
        <v>869.50739986682993</v>
      </c>
      <c r="L18" s="593"/>
      <c r="M18" s="345">
        <f t="shared" ref="M18" si="65">C17*E18*F17*K18/1000000*L17</f>
        <v>157.49497830801565</v>
      </c>
      <c r="N18" s="218">
        <f>9.45345681/G17-0.14325844*G17+0.00124097*G17^2+5.98054622</f>
        <v>3.1964189181306741</v>
      </c>
      <c r="O18" s="593"/>
      <c r="P18" s="345">
        <f t="shared" ref="P18" si="66">C17*E18*F17*N18/1000000*O17</f>
        <v>168.2441661404329</v>
      </c>
      <c r="Q18" s="218">
        <f>0.6037810576/G17-0.0052863845*G17+0.000423961*G17^2+0.3189943526</f>
        <v>0.54289600195665</v>
      </c>
      <c r="R18" s="593"/>
      <c r="S18" s="345">
        <f t="shared" ref="S18" si="67">C17*E18*F17*Q18/1000000*R17</f>
        <v>16.401712172372569</v>
      </c>
      <c r="T18" s="218">
        <f t="shared" ref="T18" si="68">0.2877659/G17-0.008903887*G17+0.000069093*G17^2+0.516185391</f>
        <v>0.32604920926362169</v>
      </c>
      <c r="U18" s="593"/>
      <c r="V18" s="345">
        <f t="shared" ref="V18" si="69">C17*E18*F17*T18*U17</f>
        <v>3268.4998612157319</v>
      </c>
      <c r="W18" s="598"/>
      <c r="X18" s="598"/>
      <c r="Y18" s="598"/>
      <c r="Z18" s="608"/>
    </row>
    <row r="19" spans="1:26" ht="15.6" customHeight="1">
      <c r="A19" s="604"/>
      <c r="B19" s="588" t="s">
        <v>51</v>
      </c>
      <c r="C19" s="586">
        <f>'ｼｰﾄNO.3（表-3）59頁'!$F$30</f>
        <v>9</v>
      </c>
      <c r="D19" s="216" t="s">
        <v>65</v>
      </c>
      <c r="E19" s="342">
        <f>'ｼｰﾄNO.4（表-4）60頁'!G18</f>
        <v>44.65</v>
      </c>
      <c r="F19" s="590">
        <f>'ｼｰﾄNO.4（表-4）60頁'!C18/1000</f>
        <v>0.76100000000000001</v>
      </c>
      <c r="G19" s="590">
        <f>'ｼｰﾄNO.4（表-4）60頁'!C18/1000/('ｼｰﾄNO.4（表-4）60頁'!D18/3600)</f>
        <v>23.617241379310347</v>
      </c>
      <c r="H19" s="219">
        <f>-2.71095565/G19-0.09453616*G19+0.00089493*G19^2+3.15403637</f>
        <v>1.3057346844709239</v>
      </c>
      <c r="I19" s="592">
        <v>10000</v>
      </c>
      <c r="J19" s="343">
        <f t="shared" ref="J19" si="70">C19*E19*F19*H19/1000000*I19</f>
        <v>3.9930391652848156</v>
      </c>
      <c r="K19" s="219">
        <f t="shared" ref="K19" si="71">1501.20185/G19-2.40935*G19+0.02115*G19^2+174.47635</f>
        <v>192.93488175832684</v>
      </c>
      <c r="L19" s="592">
        <v>2891</v>
      </c>
      <c r="M19" s="343">
        <f t="shared" ref="M19" si="72">C19*E19*F19*K19/1000000*L19</f>
        <v>170.57189499107795</v>
      </c>
      <c r="N19" s="219">
        <f>-0.25063622/G19-0.00657231*G19+0.00005332*G19^2+0.29056757</f>
        <v>0.15447582708241564</v>
      </c>
      <c r="O19" s="592">
        <v>840100</v>
      </c>
      <c r="P19" s="343">
        <f t="shared" ref="P19" si="73">C19*E19*F19*N19/1000000*O19</f>
        <v>39.686257259973758</v>
      </c>
      <c r="Q19" s="219">
        <f>0.093055673/G19-0.0002682273*G19+0.00000218*G19^2+0.0173678037</f>
        <v>1.6189120770491214E-2</v>
      </c>
      <c r="R19" s="592">
        <v>482200</v>
      </c>
      <c r="S19" s="343">
        <f t="shared" ref="S19" si="74">C19*E19*F19*Q19/1000000*R19</f>
        <v>2.3872565762585172</v>
      </c>
      <c r="T19" s="219">
        <f t="shared" ref="T19" si="75">0.630901162/G19-0.001006579*G19+0.000008915*G19^2+0.0072170055</f>
        <v>1.5130526329236419E-2</v>
      </c>
      <c r="U19" s="592">
        <v>160</v>
      </c>
      <c r="V19" s="343">
        <f t="shared" ref="V19" si="76">C19*E19*F19*T19*U19</f>
        <v>740.32539617794896</v>
      </c>
      <c r="W19" s="598"/>
      <c r="X19" s="598"/>
      <c r="Y19" s="598"/>
      <c r="Z19" s="608"/>
    </row>
    <row r="20" spans="1:26" ht="15.6" customHeight="1">
      <c r="A20" s="604"/>
      <c r="B20" s="589"/>
      <c r="C20" s="587"/>
      <c r="D20" s="217" t="s">
        <v>66</v>
      </c>
      <c r="E20" s="344">
        <f>'ｼｰﾄNO.4（表-4）60頁'!G19</f>
        <v>2.35</v>
      </c>
      <c r="F20" s="591"/>
      <c r="G20" s="591"/>
      <c r="H20" s="218">
        <f>12.28697452/G19-0.05907844*G19+0.00051753*G19^2+2.69979197</f>
        <v>2.113441450076075</v>
      </c>
      <c r="I20" s="593"/>
      <c r="J20" s="345">
        <f t="shared" ref="J20" si="77">C19*E20*F19*H20/1000000*I19</f>
        <v>0.34016157155191945</v>
      </c>
      <c r="K20" s="218">
        <f t="shared" ref="K20" si="78">908.52069/G19-23.49889*G19+0.18396*G19^2+1364.81344</f>
        <v>950.91113995558328</v>
      </c>
      <c r="L20" s="593"/>
      <c r="M20" s="345">
        <f t="shared" ref="M20" si="79">C19*E20*F19*K20/1000000*L19</f>
        <v>44.246921042434408</v>
      </c>
      <c r="N20" s="218">
        <f>9.45345681/G19-0.14325844*G19+0.00124097*G19^2+5.98054622</f>
        <v>3.6896357499342938</v>
      </c>
      <c r="O20" s="593"/>
      <c r="P20" s="345">
        <f t="shared" ref="P20" si="80">C19*E20*F19*N20/1000000*O19</f>
        <v>49.889540830150217</v>
      </c>
      <c r="Q20" s="218">
        <f>0.6037810576/G19-0.0052863845*G19+0.000423961*G19^2+0.3189943526</f>
        <v>0.45618426094744002</v>
      </c>
      <c r="R20" s="593"/>
      <c r="S20" s="345">
        <f t="shared" ref="S20" si="81">C19*E20*F19*Q20/1000000*R19</f>
        <v>3.5404831506790249</v>
      </c>
      <c r="T20" s="218">
        <f t="shared" ref="T20" si="82">0.2877659/G19-0.008903887*G19+0.000069093*G19^2+0.516185391</f>
        <v>0.35662299642889494</v>
      </c>
      <c r="U20" s="593"/>
      <c r="V20" s="345">
        <f t="shared" ref="V20" si="83">C19*E20*F19*T20*U19</f>
        <v>918.38409935560458</v>
      </c>
      <c r="W20" s="598"/>
      <c r="X20" s="598"/>
      <c r="Y20" s="598"/>
      <c r="Z20" s="608"/>
    </row>
    <row r="21" spans="1:26" ht="15.6" customHeight="1">
      <c r="A21" s="604"/>
      <c r="B21" s="588" t="s">
        <v>52</v>
      </c>
      <c r="C21" s="586">
        <f>'ｼｰﾄNO.3（表-3）59頁'!$F$30</f>
        <v>9</v>
      </c>
      <c r="D21" s="216" t="s">
        <v>65</v>
      </c>
      <c r="E21" s="342">
        <f>'ｼｰﾄNO.4（表-4）60頁'!G20</f>
        <v>159.6</v>
      </c>
      <c r="F21" s="590">
        <f>'ｼｰﾄNO.4（表-4）60頁'!C20/1000</f>
        <v>0.84799999999999998</v>
      </c>
      <c r="G21" s="590">
        <f>'ｼｰﾄNO.4（表-4）60頁'!C20/1000/('ｼｰﾄNO.4（表-4）60頁'!D20/3600)</f>
        <v>29.353846153846153</v>
      </c>
      <c r="H21" s="219">
        <f>-2.71095565/G21-0.09453616*G21+0.00089493*G21^2+3.15403637</f>
        <v>1.057797013060215</v>
      </c>
      <c r="I21" s="592">
        <v>10000</v>
      </c>
      <c r="J21" s="343">
        <f t="shared" ref="J21" si="84">C21*E21*F21*H21/1000000*I21</f>
        <v>12.884678458666194</v>
      </c>
      <c r="K21" s="219">
        <f t="shared" ref="K21" si="85">1501.20185/G21-2.40935*G21+0.02115*G21^2+174.47635</f>
        <v>173.11809443440265</v>
      </c>
      <c r="L21" s="592">
        <v>2891</v>
      </c>
      <c r="M21" s="343">
        <f t="shared" ref="M21" si="86">C21*E21*F21*K21/1000000*L21</f>
        <v>609.6236451624269</v>
      </c>
      <c r="N21" s="219">
        <f>-0.25063622/G21-0.00657231*G21+0.00005332*G21^2+0.29056757</f>
        <v>0.13504963423886224</v>
      </c>
      <c r="O21" s="592">
        <v>840100</v>
      </c>
      <c r="P21" s="343">
        <f t="shared" ref="P21" si="87">C21*E21*F21*N21/1000000*O21</f>
        <v>138.19605501720207</v>
      </c>
      <c r="Q21" s="219">
        <f>0.093055673/G21-0.0002682273*G21+0.00000218*G21^2+0.0173678037</f>
        <v>1.454282967129706E-2</v>
      </c>
      <c r="R21" s="592">
        <v>482200</v>
      </c>
      <c r="S21" s="343">
        <f t="shared" ref="S21" si="88">C21*E21*F21*Q21/1000000*R21</f>
        <v>8.5417601489401367</v>
      </c>
      <c r="T21" s="219">
        <f t="shared" ref="T21" si="89">0.630901162/G21-0.001006579*G21+0.000008915*G21^2+0.0072170055</f>
        <v>6.8445989586344656E-3</v>
      </c>
      <c r="U21" s="592">
        <v>160</v>
      </c>
      <c r="V21" s="343">
        <f t="shared" ref="V21" si="90">C21*E21*F21*T21*U21</f>
        <v>1333.9490381866879</v>
      </c>
      <c r="W21" s="598"/>
      <c r="X21" s="598"/>
      <c r="Y21" s="598"/>
      <c r="Z21" s="608"/>
    </row>
    <row r="22" spans="1:26" ht="15.6" customHeight="1">
      <c r="A22" s="604"/>
      <c r="B22" s="589"/>
      <c r="C22" s="587"/>
      <c r="D22" s="217" t="s">
        <v>66</v>
      </c>
      <c r="E22" s="344">
        <f>'ｼｰﾄNO.4（表-4）60頁'!G21</f>
        <v>8.4</v>
      </c>
      <c r="F22" s="591"/>
      <c r="G22" s="591"/>
      <c r="H22" s="218">
        <f>12.28697452/G21-0.05907844*G21+0.00051753*G21^2+2.69979197</f>
        <v>1.8301227847474923</v>
      </c>
      <c r="I22" s="593"/>
      <c r="J22" s="345">
        <f t="shared" ref="J22" si="91">C21*E22*F21*H22/1000000*I21</f>
        <v>1.1732697558282004</v>
      </c>
      <c r="K22" s="218">
        <f t="shared" ref="K22" si="92">908.52069/G21-23.49889*G21+0.18396*G21^2+1364.81344</f>
        <v>864.49010891994703</v>
      </c>
      <c r="L22" s="593"/>
      <c r="M22" s="345">
        <f t="shared" ref="M22" si="93">C21*E22*F21*K22/1000000*L21</f>
        <v>160.22333532325607</v>
      </c>
      <c r="N22" s="218">
        <f>9.45345681/G21-0.14325844*G21+0.00124097*G21^2+5.98054622</f>
        <v>3.1666914087323992</v>
      </c>
      <c r="O22" s="593"/>
      <c r="P22" s="345">
        <f t="shared" ref="P22" si="94">C21*E22*F21*N22/1000000*O21</f>
        <v>170.55104167329907</v>
      </c>
      <c r="Q22" s="218">
        <f>0.6037810576/G21-0.0052863845*G21+0.000423961*G21^2+0.3189943526</f>
        <v>0.54969296460646444</v>
      </c>
      <c r="R22" s="593"/>
      <c r="S22" s="345">
        <f t="shared" ref="S22" si="95">C21*E22*F21*Q22/1000000*R21</f>
        <v>16.992803382018796</v>
      </c>
      <c r="T22" s="218">
        <f t="shared" ref="T22" si="96">0.2877659/G21-0.008903887*G21+0.000069093*G21^2+0.516185391</f>
        <v>0.32415927236871178</v>
      </c>
      <c r="U22" s="593"/>
      <c r="V22" s="345">
        <f t="shared" ref="V22" si="97">C21*E22*F21*T22*U21</f>
        <v>3325.0339136690031</v>
      </c>
      <c r="W22" s="598"/>
      <c r="X22" s="598"/>
      <c r="Y22" s="598"/>
      <c r="Z22" s="608"/>
    </row>
    <row r="23" spans="1:26" ht="15.6" customHeight="1">
      <c r="A23" s="604"/>
      <c r="B23" s="588" t="s">
        <v>53</v>
      </c>
      <c r="C23" s="586">
        <f>'ｼｰﾄNO.3（表-3）59頁'!$F$30</f>
        <v>9</v>
      </c>
      <c r="D23" s="216" t="s">
        <v>65</v>
      </c>
      <c r="E23" s="342">
        <f>'ｼｰﾄNO.4（表-4）60頁'!G22</f>
        <v>746.69999999999993</v>
      </c>
      <c r="F23" s="590">
        <f>'ｼｰﾄNO.4（表-4）60頁'!C22/1000</f>
        <v>0.61699999999999999</v>
      </c>
      <c r="G23" s="590">
        <f>'ｼｰﾄNO.4（表-4）60頁'!C22/1000/('ｼｰﾄNO.4（表-4）60頁'!D22/3600)</f>
        <v>26.442857142857143</v>
      </c>
      <c r="H23" s="219">
        <f>-2.71095565/G23-0.09453616*G23+0.00089493*G23^2+3.15403637</f>
        <v>1.1774660682172056</v>
      </c>
      <c r="I23" s="592">
        <v>10000</v>
      </c>
      <c r="J23" s="343">
        <f t="shared" ref="J23" si="98">C23*E23*F23*H23/1000000*I23</f>
        <v>48.822748596541324</v>
      </c>
      <c r="K23" s="219">
        <f t="shared" ref="K23" si="99">1501.20185/G23-2.40935*G23+0.02115*G23^2+174.47635</f>
        <v>182.32639925899403</v>
      </c>
      <c r="L23" s="592">
        <v>2891</v>
      </c>
      <c r="M23" s="343">
        <f t="shared" ref="M23" si="100">C23*E23*F23*K23/1000000*L23</f>
        <v>2185.6039741878103</v>
      </c>
      <c r="N23" s="219">
        <f>-0.25063622/G23-0.00657231*G23+0.00005332*G23^2+0.29056757</f>
        <v>0.14458116706475485</v>
      </c>
      <c r="O23" s="592">
        <v>840100</v>
      </c>
      <c r="P23" s="343">
        <f t="shared" ref="P23" si="101">C23*E23*F23*N23/1000000*O23</f>
        <v>503.63573278586836</v>
      </c>
      <c r="Q23" s="219">
        <f>0.093055673/G23-0.0002682273*G23+0.00000218*G23^2+0.0173678037</f>
        <v>1.5318540593027376E-2</v>
      </c>
      <c r="R23" s="592">
        <v>482200</v>
      </c>
      <c r="S23" s="343">
        <f t="shared" ref="S23" si="102">C23*E23*F23*Q23/1000000*R23</f>
        <v>30.627984779605498</v>
      </c>
      <c r="T23" s="219">
        <f t="shared" ref="T23" si="103">0.630901162/G23-0.001006579*G23+0.000008915*G23^2+0.0072170055</f>
        <v>1.0692808027495889E-2</v>
      </c>
      <c r="U23" s="592">
        <v>160</v>
      </c>
      <c r="V23" s="343">
        <f t="shared" ref="V23" si="104">C23*E23*F23*T23*U23</f>
        <v>7093.9084151504703</v>
      </c>
      <c r="W23" s="598"/>
      <c r="X23" s="598"/>
      <c r="Y23" s="598"/>
      <c r="Z23" s="608"/>
    </row>
    <row r="24" spans="1:26" ht="15.6" customHeight="1">
      <c r="A24" s="604"/>
      <c r="B24" s="589"/>
      <c r="C24" s="587"/>
      <c r="D24" s="217" t="s">
        <v>66</v>
      </c>
      <c r="E24" s="344">
        <f>'ｼｰﾄNO.4（表-4）60頁'!G23</f>
        <v>39.300000000000004</v>
      </c>
      <c r="F24" s="591"/>
      <c r="G24" s="591"/>
      <c r="H24" s="218">
        <f>12.28697452/G23-0.05907844*G23+0.00051753*G23^2+2.69979197</f>
        <v>1.9641203577708941</v>
      </c>
      <c r="I24" s="593"/>
      <c r="J24" s="345">
        <f t="shared" ref="J24" si="105">C23*E24*F23*H24/1000000*I23</f>
        <v>4.2863568162537984</v>
      </c>
      <c r="K24" s="218">
        <f t="shared" ref="K24" si="106">908.52069/G23-23.49889*G23+0.18396*G23^2+1364.81344</f>
        <v>906.42291010988652</v>
      </c>
      <c r="L24" s="593"/>
      <c r="M24" s="345">
        <f t="shared" ref="M24" si="107">C23*E24*F23*K24/1000000*L23</f>
        <v>571.87246916649019</v>
      </c>
      <c r="N24" s="218">
        <f>9.45345681/G23-0.14325844*G23+0.00124097*G23^2+5.98054622</f>
        <v>3.4176057447057486</v>
      </c>
      <c r="O24" s="593"/>
      <c r="P24" s="345">
        <f t="shared" ref="P24" si="108">C23*E24*F23*N24/1000000*O23</f>
        <v>626.57515408926042</v>
      </c>
      <c r="Q24" s="218">
        <f>0.6037810576/G23-0.0052863845*G23+0.000423961*G23^2+0.3189943526</f>
        <v>0.49848467025916887</v>
      </c>
      <c r="R24" s="593"/>
      <c r="S24" s="345">
        <f t="shared" ref="S24" si="109">C23*E24*F23*Q24/1000000*R23</f>
        <v>52.456491155608695</v>
      </c>
      <c r="T24" s="218">
        <f t="shared" ref="T24" si="110">0.2877659/G23-0.008903887*G23+0.000069093*G23^2+0.516185391</f>
        <v>0.33993526781315708</v>
      </c>
      <c r="U24" s="593"/>
      <c r="V24" s="345">
        <f t="shared" ref="V24" si="111">C23*E24*F23*T24*U23</f>
        <v>11869.609489142711</v>
      </c>
      <c r="W24" s="598"/>
      <c r="X24" s="598"/>
      <c r="Y24" s="598"/>
      <c r="Z24" s="608"/>
    </row>
    <row r="25" spans="1:26" ht="15.6" customHeight="1">
      <c r="A25" s="604"/>
      <c r="B25" s="588" t="s">
        <v>54</v>
      </c>
      <c r="C25" s="586">
        <f>'ｼｰﾄNO.3（表-3）59頁'!$F$30</f>
        <v>9</v>
      </c>
      <c r="D25" s="216" t="s">
        <v>65</v>
      </c>
      <c r="E25" s="342">
        <f>'ｼｰﾄNO.4（表-4）60頁'!G24</f>
        <v>139.65</v>
      </c>
      <c r="F25" s="590">
        <f>'ｼｰﾄNO.4（表-4）60頁'!C24/1000</f>
        <v>0.82399999999999995</v>
      </c>
      <c r="G25" s="590">
        <f>'ｼｰﾄNO.4（表-4）60頁'!C24/1000/('ｼｰﾄNO.4（表-4）60頁'!D24/3600)</f>
        <v>26.724324324324321</v>
      </c>
      <c r="H25" s="219">
        <f>-2.71095565/G25-0.09453616*G25+0.00089493*G25^2+3.15403637</f>
        <v>1.1653294846039817</v>
      </c>
      <c r="I25" s="592">
        <v>10000</v>
      </c>
      <c r="J25" s="343">
        <f t="shared" ref="J25" si="112">C25*E25*F25*H25/1000000*I25</f>
        <v>12.06866954885</v>
      </c>
      <c r="K25" s="219">
        <f t="shared" ref="K25" si="113">1501.20185/G25-2.40935*G25+0.02115*G25^2+174.47635</f>
        <v>181.36682025284708</v>
      </c>
      <c r="L25" s="592">
        <v>2891</v>
      </c>
      <c r="M25" s="343">
        <f t="shared" ref="M25" si="114">C25*E25*F25*K25/1000000*L25</f>
        <v>543.02095826227026</v>
      </c>
      <c r="N25" s="219">
        <f>-0.25063622/G25-0.00657231*G25+0.00005332*G25^2+0.29056757</f>
        <v>0.14362903046607486</v>
      </c>
      <c r="O25" s="592">
        <v>840100</v>
      </c>
      <c r="P25" s="343">
        <f t="shared" ref="P25" si="115">C25*E25*F25*N25/1000000*O25</f>
        <v>124.96369976698863</v>
      </c>
      <c r="Q25" s="219">
        <f>0.093055673/G25-0.0002682273*G25+0.00000218*G25^2+0.0173678037</f>
        <v>1.5238602436619324E-2</v>
      </c>
      <c r="R25" s="592">
        <v>482200</v>
      </c>
      <c r="S25" s="343">
        <f t="shared" ref="S25" si="116">C25*E25*F25*Q25/1000000*R25</f>
        <v>7.609971074319442</v>
      </c>
      <c r="T25" s="219">
        <f t="shared" ref="T25" si="117">0.630901162/G25-0.001006579*G25+0.000008915*G25^2+0.0072170055</f>
        <v>1.029161112453738E-2</v>
      </c>
      <c r="U25" s="592">
        <v>160</v>
      </c>
      <c r="V25" s="343">
        <f t="shared" ref="V25" si="118">C25*E25*F25*T25*U25</f>
        <v>1705.3519084967747</v>
      </c>
      <c r="W25" s="598"/>
      <c r="X25" s="598"/>
      <c r="Y25" s="598"/>
      <c r="Z25" s="608"/>
    </row>
    <row r="26" spans="1:26" ht="15.6" customHeight="1">
      <c r="A26" s="604"/>
      <c r="B26" s="589"/>
      <c r="C26" s="587"/>
      <c r="D26" s="217" t="s">
        <v>66</v>
      </c>
      <c r="E26" s="344">
        <f>'ｼｰﾄNO.4（表-4）60頁'!G25</f>
        <v>7.3500000000000005</v>
      </c>
      <c r="F26" s="591"/>
      <c r="G26" s="591"/>
      <c r="H26" s="218">
        <f>12.28697452/G25-0.05907844*G25+0.00051753*G25^2+2.69979197</f>
        <v>1.9503425289917296</v>
      </c>
      <c r="I26" s="593"/>
      <c r="J26" s="345">
        <f t="shared" ref="J26" si="119">C25*E26*F25*H26/1000000*I25</f>
        <v>1.0630849043326962</v>
      </c>
      <c r="K26" s="218">
        <f t="shared" ref="K26" si="120">908.52069/G25-23.49889*G25+0.18396*G25^2+1364.81344</f>
        <v>902.1998057116283</v>
      </c>
      <c r="L26" s="593"/>
      <c r="M26" s="345">
        <f t="shared" ref="M26" si="121">C25*E26*F25*K26/1000000*L25</f>
        <v>142.16997306127249</v>
      </c>
      <c r="N26" s="218">
        <f>9.45345681/G25-0.14325844*G25+0.00124097*G25^2+5.98054622</f>
        <v>3.3920887517932119</v>
      </c>
      <c r="O26" s="593"/>
      <c r="P26" s="345">
        <f t="shared" ref="P26" si="122">C25*E26*F25*N26/1000000*O25</f>
        <v>155.32996761336943</v>
      </c>
      <c r="Q26" s="218">
        <f>0.6037810576/G25-0.0052863845*G25+0.000423961*G25^2+0.3189943526</f>
        <v>0.50310073787874554</v>
      </c>
      <c r="R26" s="593"/>
      <c r="S26" s="345">
        <f t="shared" ref="S26" si="123">C25*E26*F25*Q26/1000000*R25</f>
        <v>13.223280804715765</v>
      </c>
      <c r="T26" s="218">
        <f t="shared" ref="T26" si="124">0.2877659/G25-0.008903887*G25+0.000069093*G25^2+0.516185391</f>
        <v>0.33834846213943109</v>
      </c>
      <c r="U26" s="593"/>
      <c r="V26" s="345">
        <f t="shared" ref="V26" si="125">C25*E26*F25*T26*U25</f>
        <v>2950.8100215858008</v>
      </c>
      <c r="W26" s="598"/>
      <c r="X26" s="598"/>
      <c r="Y26" s="598"/>
      <c r="Z26" s="608"/>
    </row>
    <row r="27" spans="1:26" ht="15.6" customHeight="1">
      <c r="A27" s="604"/>
      <c r="B27" s="588" t="s">
        <v>55</v>
      </c>
      <c r="C27" s="586">
        <f>'ｼｰﾄNO.3（表-3）59頁'!$F$30</f>
        <v>9</v>
      </c>
      <c r="D27" s="216" t="s">
        <v>65</v>
      </c>
      <c r="E27" s="342">
        <f>'ｼｰﾄNO.4（表-4）60頁'!G26</f>
        <v>41.8</v>
      </c>
      <c r="F27" s="590">
        <f>'ｼｰﾄNO.4（表-4）60頁'!C26/1000</f>
        <v>0.91</v>
      </c>
      <c r="G27" s="590">
        <f>'ｼｰﾄNO.4（表-4）60頁'!C26/1000/('ｼｰﾄNO.4（表-4）60頁'!D26/3600)</f>
        <v>24.266666666666669</v>
      </c>
      <c r="H27" s="219">
        <f>-2.71095565/G27-0.09453616*G27+0.00089493*G27^2+3.15403637</f>
        <v>1.2752421054428575</v>
      </c>
      <c r="I27" s="592">
        <v>10000</v>
      </c>
      <c r="J27" s="343">
        <f t="shared" ref="J27" si="126">C27*E27*F27*H27/1000000*I27</f>
        <v>4.3656893286151872</v>
      </c>
      <c r="K27" s="219">
        <f t="shared" ref="K27" si="127">1501.20185/G27-2.40935*G27+0.02115*G27^2+174.47635</f>
        <v>190.32679426556774</v>
      </c>
      <c r="L27" s="592">
        <v>2891</v>
      </c>
      <c r="M27" s="343">
        <f t="shared" ref="M27" si="128">C27*E27*F27*K27/1000000*L27</f>
        <v>188.36846896852052</v>
      </c>
      <c r="N27" s="219">
        <f>-0.25063622/G27-0.00657231*G27+0.00005332*G27^2+0.29056757</f>
        <v>0.15214970598510377</v>
      </c>
      <c r="O27" s="592">
        <v>840100</v>
      </c>
      <c r="P27" s="343">
        <f t="shared" ref="P27" si="129">C27*E27*F27*N27/1000000*O27</f>
        <v>43.758485826400644</v>
      </c>
      <c r="Q27" s="219">
        <f>0.093055673/G27-0.0002682273*G27+0.00000218*G27^2+0.0173678037</f>
        <v>1.597727204167277E-2</v>
      </c>
      <c r="R27" s="592">
        <v>482200</v>
      </c>
      <c r="S27" s="343">
        <f t="shared" ref="S27" si="130">C27*E27*F27*Q27/1000000*R27</f>
        <v>2.6374851281230018</v>
      </c>
      <c r="T27" s="219">
        <f t="shared" ref="T27" si="131">0.630901162/G27-0.001006579*G27+0.000008915*G27^2+0.0072170055</f>
        <v>1.4039148647130642E-2</v>
      </c>
      <c r="U27" s="592">
        <v>160</v>
      </c>
      <c r="V27" s="343">
        <f t="shared" ref="V27" si="132">C27*E27*F27*T27*U27</f>
        <v>768.99043618495966</v>
      </c>
      <c r="W27" s="598"/>
      <c r="X27" s="598"/>
      <c r="Y27" s="598"/>
      <c r="Z27" s="608"/>
    </row>
    <row r="28" spans="1:26" ht="15.6" customHeight="1">
      <c r="A28" s="604"/>
      <c r="B28" s="589"/>
      <c r="C28" s="587"/>
      <c r="D28" s="217" t="s">
        <v>66</v>
      </c>
      <c r="E28" s="344">
        <f>'ｼｰﾄNO.4（表-4）60頁'!G27</f>
        <v>2.2000000000000002</v>
      </c>
      <c r="F28" s="591"/>
      <c r="G28" s="591"/>
      <c r="H28" s="218">
        <f>12.28697452/G27-0.05907844*G27+0.00051753*G27^2+2.69979197</f>
        <v>2.0772449930490842</v>
      </c>
      <c r="I28" s="593"/>
      <c r="J28" s="345">
        <f t="shared" ref="J28" si="133">C27*E28*F27*H28/1000000*I27</f>
        <v>0.37427800284758395</v>
      </c>
      <c r="K28" s="218">
        <f t="shared" ref="K28" si="134">908.52069/G27-23.49889*G27+0.18396*G27^2+1364.81344</f>
        <v>940.34147835641011</v>
      </c>
      <c r="L28" s="593"/>
      <c r="M28" s="345">
        <f t="shared" ref="M28" si="135">C27*E28*F27*K28/1000000*L27</f>
        <v>48.982423340561589</v>
      </c>
      <c r="N28" s="218">
        <f>9.45345681/G27-0.14325844*G27+0.00124097*G27^2+5.98054622</f>
        <v>3.6244783199735044</v>
      </c>
      <c r="O28" s="593"/>
      <c r="P28" s="345">
        <f t="shared" ref="P28" si="136">C27*E28*F27*N28/1000000*O27</f>
        <v>54.863444895234323</v>
      </c>
      <c r="Q28" s="218">
        <f>0.6037810576/G27-0.0052863845*G27+0.000423961*G27^2+0.3189943526</f>
        <v>0.46525089474290598</v>
      </c>
      <c r="R28" s="593"/>
      <c r="S28" s="345">
        <f t="shared" ref="S28" si="137">C27*E28*F27*Q28/1000000*R27</f>
        <v>4.0422298576765376</v>
      </c>
      <c r="T28" s="218">
        <f t="shared" ref="T28" si="138">0.2877659/G27-0.008903887*G27+0.000069093*G27^2+0.516185391</f>
        <v>0.35266308970344329</v>
      </c>
      <c r="U28" s="593"/>
      <c r="V28" s="345">
        <f t="shared" ref="V28" si="139">C27*E28*F27*T28*U27</f>
        <v>1016.6853680442626</v>
      </c>
      <c r="W28" s="598"/>
      <c r="X28" s="598"/>
      <c r="Y28" s="598"/>
      <c r="Z28" s="608"/>
    </row>
    <row r="29" spans="1:26" ht="15.6" customHeight="1">
      <c r="A29" s="604"/>
      <c r="B29" s="588" t="s">
        <v>56</v>
      </c>
      <c r="C29" s="586">
        <f>'ｼｰﾄNO.3（表-3）59頁'!$F$30</f>
        <v>9</v>
      </c>
      <c r="D29" s="216" t="s">
        <v>65</v>
      </c>
      <c r="E29" s="342">
        <f>'ｼｰﾄNO.4（表-4）60頁'!G28</f>
        <v>748.59999999999991</v>
      </c>
      <c r="F29" s="590">
        <f>'ｼｰﾄNO.4（表-4）60頁'!C28/1000</f>
        <v>0.61699999999999999</v>
      </c>
      <c r="G29" s="590">
        <f>'ｼｰﾄNO.4（表-4）60頁'!C28/1000/('ｼｰﾄNO.4（表-4）60頁'!D28/3600)</f>
        <v>26.442857142857143</v>
      </c>
      <c r="H29" s="219">
        <f>-2.71095565/G29-0.09453616*G29+0.00089493*G29^2+3.15403637</f>
        <v>1.1774660682172056</v>
      </c>
      <c r="I29" s="592">
        <v>10000</v>
      </c>
      <c r="J29" s="343">
        <f t="shared" ref="J29" si="140">C29*E29*F29*H29/1000000*I29</f>
        <v>48.946979509000734</v>
      </c>
      <c r="K29" s="219">
        <f t="shared" ref="K29" si="141">1501.20185/G29-2.40935*G29+0.02115*G29^2+174.47635</f>
        <v>182.32639925899403</v>
      </c>
      <c r="L29" s="592">
        <v>2891</v>
      </c>
      <c r="M29" s="343">
        <f t="shared" ref="M29" si="142">C29*E29*F29*K29/1000000*L29</f>
        <v>2191.1653074554638</v>
      </c>
      <c r="N29" s="219">
        <f>-0.25063622/G29-0.00657231*G29+0.00005332*G29^2+0.29056757</f>
        <v>0.14458116706475485</v>
      </c>
      <c r="O29" s="592">
        <v>840100</v>
      </c>
      <c r="P29" s="343">
        <f t="shared" ref="P29" si="143">C29*E29*F29*N29/1000000*O29</f>
        <v>504.91724864537451</v>
      </c>
      <c r="Q29" s="219">
        <f>0.093055673/G29-0.0002682273*G29+0.00000218*G29^2+0.0173678037</f>
        <v>1.5318540593027376E-2</v>
      </c>
      <c r="R29" s="592">
        <v>482200</v>
      </c>
      <c r="S29" s="343">
        <f t="shared" ref="S29" si="144">C29*E29*F29*Q29/1000000*R29</f>
        <v>30.705918583115949</v>
      </c>
      <c r="T29" s="219">
        <f t="shared" ref="T29" si="145">0.630901162/G29-0.001006579*G29+0.000008915*G29^2+0.0072170055</f>
        <v>1.0692808027495889E-2</v>
      </c>
      <c r="U29" s="592">
        <v>160</v>
      </c>
      <c r="V29" s="343">
        <f t="shared" ref="V29" si="146">C29*E29*F29*T29*U29</f>
        <v>7111.9590726953829</v>
      </c>
      <c r="W29" s="598"/>
      <c r="X29" s="598"/>
      <c r="Y29" s="598"/>
      <c r="Z29" s="608"/>
    </row>
    <row r="30" spans="1:26" ht="15.6" customHeight="1">
      <c r="A30" s="605"/>
      <c r="B30" s="589"/>
      <c r="C30" s="587"/>
      <c r="D30" s="217" t="s">
        <v>66</v>
      </c>
      <c r="E30" s="344">
        <f>'ｼｰﾄNO.4（表-4）60頁'!G29</f>
        <v>39.400000000000006</v>
      </c>
      <c r="F30" s="591"/>
      <c r="G30" s="591"/>
      <c r="H30" s="218">
        <f>12.28697452/G29-0.05907844*G29+0.00051753*G29^2+2.69979197</f>
        <v>1.9641203577708941</v>
      </c>
      <c r="I30" s="593"/>
      <c r="J30" s="345">
        <f t="shared" ref="J30" si="147">C29*E30*F29*H30/1000000*I29</f>
        <v>4.2972635766004998</v>
      </c>
      <c r="K30" s="218">
        <f t="shared" ref="K30" si="148">908.52069/G29-23.49889*G29+0.18396*G29^2+1364.81344</f>
        <v>906.42291010988652</v>
      </c>
      <c r="L30" s="593"/>
      <c r="M30" s="345">
        <f t="shared" ref="M30" si="149">C29*E30*F29*K30/1000000*L29</f>
        <v>573.32761539846592</v>
      </c>
      <c r="N30" s="218">
        <f>9.45345681/G29-0.14325844*G29+0.00124097*G29^2+5.98054622</f>
        <v>3.4176057447057486</v>
      </c>
      <c r="O30" s="593"/>
      <c r="P30" s="345">
        <f t="shared" ref="P30" si="150">C29*E30*F29*N30/1000000*O29</f>
        <v>628.16949290373691</v>
      </c>
      <c r="Q30" s="218">
        <f>0.6037810576/G29-0.0052863845*G29+0.000423961*G29^2+0.3189943526</f>
        <v>0.49848467025916887</v>
      </c>
      <c r="R30" s="593"/>
      <c r="S30" s="345">
        <f t="shared" ref="S30" si="151">C29*E30*F29*Q30/1000000*R29</f>
        <v>52.589968232340517</v>
      </c>
      <c r="T30" s="218">
        <f t="shared" ref="T30" si="152">0.2877659/G29-0.008903887*G29+0.000069093*G29^2+0.516185391</f>
        <v>0.33993526781315708</v>
      </c>
      <c r="U30" s="593"/>
      <c r="V30" s="345">
        <f t="shared" ref="V30" si="153">C29*E30*F29*T30*U29</f>
        <v>11899.812057817373</v>
      </c>
      <c r="W30" s="599"/>
      <c r="X30" s="599"/>
      <c r="Y30" s="599"/>
      <c r="Z30" s="608"/>
    </row>
    <row r="31" spans="1:26" ht="15.6" customHeight="1">
      <c r="A31" s="603" t="s">
        <v>913</v>
      </c>
      <c r="B31" s="588" t="s">
        <v>45</v>
      </c>
      <c r="C31" s="586">
        <f>'ｼｰﾄNO.3（表-3）59頁'!$F$30</f>
        <v>9</v>
      </c>
      <c r="D31" s="216" t="s">
        <v>65</v>
      </c>
      <c r="E31" s="342">
        <f>'ｼｰﾄNO.4（表-4）60頁'!G33</f>
        <v>772.34999999999991</v>
      </c>
      <c r="F31" s="590">
        <f>'ｼｰﾄNO.4（表-4）60頁'!C33/1000</f>
        <v>1.054</v>
      </c>
      <c r="G31" s="590">
        <f>'ｼｰﾄNO.4（表-4）60頁'!C33/1000/('ｼｰﾄNO.4（表-4）60頁'!D33/3600)</f>
        <v>29.413953488372094</v>
      </c>
      <c r="H31" s="219">
        <f>-2.71095565/G31-0.09453616*G31+0.00089493*G31^2+3.15403637</f>
        <v>1.0554646514177595</v>
      </c>
      <c r="I31" s="592">
        <v>10000</v>
      </c>
      <c r="J31" s="343">
        <f>C31*E31*F31*H31/1000000*I31</f>
        <v>77.32874539734496</v>
      </c>
      <c r="K31" s="219">
        <f>1501.20185/G31-2.40935*G31+0.02115*G31^2+174.47635</f>
        <v>172.94347691075419</v>
      </c>
      <c r="L31" s="592">
        <v>2891</v>
      </c>
      <c r="M31" s="343">
        <f>C31*E31*F31*K31/1000000*L31</f>
        <v>3663.1065287020383</v>
      </c>
      <c r="N31" s="219">
        <f>-0.25063622/G31-0.00657231*G31+0.00005332*G31^2+0.29056757</f>
        <v>0.13486038477096629</v>
      </c>
      <c r="O31" s="592">
        <v>840100</v>
      </c>
      <c r="P31" s="343">
        <f>C31*E31*F31*N31/1000000*O31</f>
        <v>830.06604792560131</v>
      </c>
      <c r="Q31" s="219">
        <f>0.093055673/G31-0.0002682273*G31+0.00000218*G31^2+0.0173678037</f>
        <v>1.4527929658914706E-2</v>
      </c>
      <c r="R31" s="592">
        <v>482200</v>
      </c>
      <c r="S31" s="343">
        <f>C31*E31*F31*Q31/1000000*R31</f>
        <v>51.324911083668759</v>
      </c>
      <c r="T31" s="219">
        <f>0.630901162/G31-0.001006579*G31+0.000008915*G31^2+0.0072170055</f>
        <v>6.7716664940150866E-3</v>
      </c>
      <c r="U31" s="592">
        <v>160</v>
      </c>
      <c r="V31" s="343">
        <f>C31*E31*F31*T31*U31</f>
        <v>7938.031440890577</v>
      </c>
      <c r="W31" s="597">
        <f>SUM(J31:J54)+SUM(M31:M54)+SUM(P31:P54)+SUM(S31:S54)+SUM(V31:V54)</f>
        <v>179276.56575148969</v>
      </c>
      <c r="X31" s="597">
        <f>'ｼｰﾄNO.3（表-3）59頁'!F33</f>
        <v>18</v>
      </c>
      <c r="Y31" s="597">
        <f>W31*X31</f>
        <v>3226978.1835268144</v>
      </c>
      <c r="Z31" s="608"/>
    </row>
    <row r="32" spans="1:26" ht="15.6" customHeight="1">
      <c r="A32" s="604"/>
      <c r="B32" s="589"/>
      <c r="C32" s="587"/>
      <c r="D32" s="217" t="s">
        <v>66</v>
      </c>
      <c r="E32" s="344">
        <f>'ｼｰﾄNO.4（表-4）60頁'!G34</f>
        <v>40.650000000000006</v>
      </c>
      <c r="F32" s="591"/>
      <c r="G32" s="591"/>
      <c r="H32" s="218">
        <f>12.28697452/G31-0.05907844*G31+0.00051753*G31^2+2.69979197</f>
        <v>1.8275444776395025</v>
      </c>
      <c r="I32" s="593"/>
      <c r="J32" s="345">
        <f>C31*E32*F31*H32/1000000*I31</f>
        <v>7.0471193309021025</v>
      </c>
      <c r="K32" s="218">
        <f>908.52069/G31-23.49889*G31+0.18396*G31^2+1364.81344</f>
        <v>863.66422155382952</v>
      </c>
      <c r="L32" s="593"/>
      <c r="M32" s="345">
        <f>C31*E32*F31*K32/1000000*L31</f>
        <v>962.80135023013474</v>
      </c>
      <c r="N32" s="218">
        <f>9.45345681/G31-0.14325844*G31+0.00124097*G31^2+5.98054622</f>
        <v>3.1618059863109744</v>
      </c>
      <c r="O32" s="593"/>
      <c r="P32" s="345">
        <f>C31*E32*F31*N32/1000000*O31</f>
        <v>1024.2591972048358</v>
      </c>
      <c r="Q32" s="218">
        <f>0.6037810576/G31-0.0052863845*G31+0.000423961*G31^2+0.3189943526</f>
        <v>0.55083077087724097</v>
      </c>
      <c r="R32" s="593"/>
      <c r="S32" s="345">
        <f>C31*E32*F31*Q32/1000000*R31</f>
        <v>102.4210135822039</v>
      </c>
      <c r="T32" s="218">
        <f>0.2877659/G31-0.008903887*G31+0.000069093*G31^2+0.516185391</f>
        <v>0.323848112784486</v>
      </c>
      <c r="U32" s="593"/>
      <c r="V32" s="345">
        <f>C31*E32*F31*T32*U31</f>
        <v>19980.438878970119</v>
      </c>
      <c r="W32" s="598"/>
      <c r="X32" s="598"/>
      <c r="Y32" s="598"/>
      <c r="Z32" s="608"/>
    </row>
    <row r="33" spans="1:26" ht="15.6" customHeight="1">
      <c r="A33" s="604"/>
      <c r="B33" s="588" t="s">
        <v>46</v>
      </c>
      <c r="C33" s="586">
        <f>'ｼｰﾄNO.3（表-3）59頁'!$F$30</f>
        <v>9</v>
      </c>
      <c r="D33" s="216" t="s">
        <v>65</v>
      </c>
      <c r="E33" s="342">
        <f>'ｼｰﾄNO.4（表-4）60頁'!G35</f>
        <v>152</v>
      </c>
      <c r="F33" s="590">
        <f>'ｼｰﾄNO.4（表-4）60頁'!C35/1000</f>
        <v>0.76100000000000001</v>
      </c>
      <c r="G33" s="590">
        <f>'ｼｰﾄNO.4（表-4）60頁'!C35/1000/('ｼｰﾄNO.4（表-4）60頁'!D35/3600)</f>
        <v>26.598058252427183</v>
      </c>
      <c r="H33" s="219">
        <f>-2.71095565/G33-0.09453616*G33+0.00089493*G33^2+3.15403637</f>
        <v>1.1707592402727975</v>
      </c>
      <c r="I33" s="592">
        <v>10000</v>
      </c>
      <c r="J33" s="343">
        <f t="shared" ref="J33" si="154">C33*E33*F33*H33/1000000*I33</f>
        <v>12.188165655675153</v>
      </c>
      <c r="K33" s="219">
        <f t="shared" ref="K33" si="155">1501.20185/G33-2.40935*G33+0.02115*G33^2+174.47635</f>
        <v>181.79530741734516</v>
      </c>
      <c r="L33" s="592">
        <v>2891</v>
      </c>
      <c r="M33" s="343">
        <f t="shared" ref="M33" si="156">C33*E33*F33*K33/1000000*L33</f>
        <v>547.14384069824996</v>
      </c>
      <c r="N33" s="219">
        <f>-0.25063622/G33-0.00657231*G33+0.00005332*G33^2+0.29056757</f>
        <v>0.1440553750066611</v>
      </c>
      <c r="O33" s="592">
        <v>840100</v>
      </c>
      <c r="P33" s="343">
        <f t="shared" ref="P33" si="157">C33*E33*F33*N33/1000000*O33</f>
        <v>125.98858728954899</v>
      </c>
      <c r="Q33" s="219">
        <f>0.093055673/G33-0.0002682273*G33+0.00000218*G33^2+0.0173678037</f>
        <v>1.52743229233389E-2</v>
      </c>
      <c r="R33" s="592">
        <v>482200</v>
      </c>
      <c r="S33" s="343">
        <f t="shared" ref="S33" si="158">C33*E33*F33*Q33/1000000*R33</f>
        <v>7.6676084660616661</v>
      </c>
      <c r="T33" s="219">
        <f t="shared" ref="T33" si="159">0.630901162/G33-0.001006579*G33+0.000008915*G33^2+0.0072170055</f>
        <v>1.0470755424911396E-2</v>
      </c>
      <c r="U33" s="592">
        <v>160</v>
      </c>
      <c r="V33" s="343">
        <f t="shared" ref="V33" si="160">C33*E33*F33*T33*U33</f>
        <v>1744.0894389749053</v>
      </c>
      <c r="W33" s="598"/>
      <c r="X33" s="598"/>
      <c r="Y33" s="598"/>
      <c r="Z33" s="608"/>
    </row>
    <row r="34" spans="1:26" ht="15.6" customHeight="1">
      <c r="A34" s="604"/>
      <c r="B34" s="589"/>
      <c r="C34" s="587"/>
      <c r="D34" s="217" t="s">
        <v>66</v>
      </c>
      <c r="E34" s="344">
        <f>'ｼｰﾄNO.4（表-4）60頁'!G36</f>
        <v>8</v>
      </c>
      <c r="F34" s="591"/>
      <c r="G34" s="591"/>
      <c r="H34" s="218">
        <f>12.28697452/G33-0.05907844*G33+0.00051753*G33^2+2.69979197</f>
        <v>1.956500305599318</v>
      </c>
      <c r="I34" s="593"/>
      <c r="J34" s="345">
        <f t="shared" ref="J34" si="161">C33*E34*F33*H34/1000000*I33</f>
        <v>1.0720056474439785</v>
      </c>
      <c r="K34" s="218">
        <f t="shared" ref="K34" si="162">908.52069/G33-23.49889*G33+0.18396*G33^2+1364.81344</f>
        <v>904.08973654087185</v>
      </c>
      <c r="L34" s="593"/>
      <c r="M34" s="345">
        <f t="shared" ref="M34" si="163">C33*E34*F33*K34/1000000*L33</f>
        <v>143.21113408558668</v>
      </c>
      <c r="N34" s="218">
        <f>9.45345681/G33-0.14325844*G33+0.00124097*G33^2+5.98054622</f>
        <v>3.4035014902498837</v>
      </c>
      <c r="O34" s="593"/>
      <c r="P34" s="345">
        <f t="shared" ref="P34" si="164">C33*E34*F33*N34/1000000*O33</f>
        <v>156.66575753453355</v>
      </c>
      <c r="Q34" s="218">
        <f>0.6037810576/G33-0.0052863845*G33+0.000423961*G33^2+0.3189943526</f>
        <v>0.50102103396920805</v>
      </c>
      <c r="R34" s="593"/>
      <c r="S34" s="345">
        <f t="shared" ref="S34" si="165">C33*E34*F33*Q34/1000000*R33</f>
        <v>13.237327634640737</v>
      </c>
      <c r="T34" s="218">
        <f t="shared" ref="T34" si="166">0.2877659/G33-0.008903887*G33+0.000069093*G33^2+0.516185391</f>
        <v>0.3390586485546051</v>
      </c>
      <c r="U34" s="593"/>
      <c r="V34" s="345">
        <f t="shared" ref="V34" si="167">C33*E34*F33*T34*U33</f>
        <v>2972.4322354566275</v>
      </c>
      <c r="W34" s="598"/>
      <c r="X34" s="598"/>
      <c r="Y34" s="598"/>
      <c r="Z34" s="608"/>
    </row>
    <row r="35" spans="1:26" ht="15.6" customHeight="1">
      <c r="A35" s="604"/>
      <c r="B35" s="588" t="s">
        <v>47</v>
      </c>
      <c r="C35" s="586">
        <f>'ｼｰﾄNO.3（表-3）59頁'!$F$30</f>
        <v>9</v>
      </c>
      <c r="D35" s="216" t="s">
        <v>65</v>
      </c>
      <c r="E35" s="342">
        <f>'ｼｰﾄNO.4（表-4）60頁'!G37</f>
        <v>38</v>
      </c>
      <c r="F35" s="590">
        <f>'ｼｰﾄNO.4（表-4）60頁'!C37/1000</f>
        <v>0.82399999999999995</v>
      </c>
      <c r="G35" s="590">
        <f>'ｼｰﾄNO.4（表-4）60頁'!C37/1000/('ｼｰﾄNO.4（表-4）60頁'!D37/3600)</f>
        <v>20.179591836734694</v>
      </c>
      <c r="H35" s="219">
        <f>-2.71095565/G35-0.09453616*G35+0.00089493*G35^2+3.15403637</f>
        <v>1.4764235455645425</v>
      </c>
      <c r="I35" s="592">
        <v>10000</v>
      </c>
      <c r="J35" s="343">
        <f t="shared" ref="J35" si="168">C35*E35*F35*H35/1000000*I35</f>
        <v>4.1606796652845262</v>
      </c>
      <c r="K35" s="219">
        <f t="shared" ref="K35" si="169">1501.20185/G35-2.40935*G35+0.02115*G35^2+174.47635</f>
        <v>208.86134922585131</v>
      </c>
      <c r="L35" s="592">
        <v>2891</v>
      </c>
      <c r="M35" s="343">
        <f t="shared" ref="M35" si="170">C35*E35*F35*K35/1000000*L35</f>
        <v>170.16078820572849</v>
      </c>
      <c r="N35" s="219">
        <f>-0.25063622/G35-0.00657231*G35+0.00005332*G35^2+0.29056757</f>
        <v>0.16723350804930318</v>
      </c>
      <c r="O35" s="592">
        <v>840100</v>
      </c>
      <c r="P35" s="343">
        <f t="shared" ref="P35" si="171">C35*E35*F35*N35/1000000*O35</f>
        <v>39.592014740584375</v>
      </c>
      <c r="Q35" s="219">
        <f>0.093055673/G35-0.0002682273*G35+0.00000218*G35^2+0.0173678037</f>
        <v>1.7454192368000755E-2</v>
      </c>
      <c r="R35" s="592">
        <v>482200</v>
      </c>
      <c r="S35" s="343">
        <f t="shared" ref="S35" si="172">C35*E35*F35*Q35/1000000*R35</f>
        <v>2.3718121088581987</v>
      </c>
      <c r="T35" s="219">
        <f t="shared" ref="T35" si="173">0.630901162/G35-0.001006579*G35+0.000008915*G35^2+0.0072170055</f>
        <v>2.1799299406743716E-2</v>
      </c>
      <c r="U35" s="592">
        <v>160</v>
      </c>
      <c r="V35" s="343">
        <f t="shared" ref="V35" si="174">C35*E35*F35*T35*U35</f>
        <v>982.91471475450123</v>
      </c>
      <c r="W35" s="598"/>
      <c r="X35" s="598"/>
      <c r="Y35" s="598"/>
      <c r="Z35" s="608"/>
    </row>
    <row r="36" spans="1:26" ht="15.6" customHeight="1">
      <c r="A36" s="604"/>
      <c r="B36" s="589"/>
      <c r="C36" s="587"/>
      <c r="D36" s="217" t="s">
        <v>66</v>
      </c>
      <c r="E36" s="344">
        <f>'ｼｰﾄNO.4（表-4）60頁'!G38</f>
        <v>2</v>
      </c>
      <c r="F36" s="591"/>
      <c r="G36" s="591"/>
      <c r="H36" s="218">
        <f>12.28697452/G35-0.05907844*G35+0.00051753*G35^2+2.69979197</f>
        <v>2.3272408441495442</v>
      </c>
      <c r="I36" s="593"/>
      <c r="J36" s="345">
        <f t="shared" ref="J36" si="175">C35*E36*F35*H36/1000000*I35</f>
        <v>0.34517636200426044</v>
      </c>
      <c r="K36" s="218">
        <f t="shared" ref="K36" si="176">908.52069/G35-23.49889*G35+0.18396*G35^2+1364.81344</f>
        <v>1010.5486305528241</v>
      </c>
      <c r="L36" s="593"/>
      <c r="M36" s="345">
        <f t="shared" ref="M36" si="177">C35*E36*F35*K36/1000000*L35</f>
        <v>43.331630020647275</v>
      </c>
      <c r="N36" s="218">
        <f>9.45345681/G35-0.14325844*G35+0.00124097*G35^2+5.98054622</f>
        <v>4.063458327374196</v>
      </c>
      <c r="O36" s="593"/>
      <c r="P36" s="345">
        <f t="shared" ref="P36" si="178">C35*E36*F35*N36/1000000*O35</f>
        <v>50.632166607146978</v>
      </c>
      <c r="Q36" s="218">
        <f>0.6037810576/G35-0.0052863845*G35+0.000423961*G35^2+0.3189943526</f>
        <v>0.41488132267572286</v>
      </c>
      <c r="R36" s="593"/>
      <c r="S36" s="345">
        <f t="shared" ref="S36" si="179">C35*E36*F35*Q36/1000000*R35</f>
        <v>2.9672272369160719</v>
      </c>
      <c r="T36" s="218">
        <f t="shared" ref="T36" si="180">0.2877659/G35-0.008903887*G35+0.000069093*G35^2+0.516185391</f>
        <v>0.37890459943378835</v>
      </c>
      <c r="U36" s="593"/>
      <c r="V36" s="345">
        <f t="shared" ref="V36" si="181">C35*E36*F35*T36*U35</f>
        <v>899.1860830083117</v>
      </c>
      <c r="W36" s="598"/>
      <c r="X36" s="598"/>
      <c r="Y36" s="598"/>
      <c r="Z36" s="608"/>
    </row>
    <row r="37" spans="1:26" ht="15.6" customHeight="1">
      <c r="A37" s="604"/>
      <c r="B37" s="588" t="s">
        <v>48</v>
      </c>
      <c r="C37" s="586">
        <f>'ｼｰﾄNO.3（表-3）59頁'!$F$30</f>
        <v>9</v>
      </c>
      <c r="D37" s="216" t="s">
        <v>65</v>
      </c>
      <c r="E37" s="342">
        <f>'ｼｰﾄNO.4（表-4）60頁'!G39</f>
        <v>745.75</v>
      </c>
      <c r="F37" s="590">
        <f>'ｼｰﾄNO.4（表-4）60頁'!C39/1000</f>
        <v>1.054</v>
      </c>
      <c r="G37" s="590">
        <f>'ｼｰﾄNO.4（表-4）60頁'!C39/1000/('ｼｰﾄNO.4（表-4）60頁'!D39/3600)</f>
        <v>20.400000000000002</v>
      </c>
      <c r="H37" s="219">
        <f>-2.71095565/G37-0.09453616*G37+0.00089493*G37^2+3.15403637</f>
        <v>1.4650427919568627</v>
      </c>
      <c r="I37" s="592">
        <v>10000</v>
      </c>
      <c r="J37" s="343">
        <f t="shared" ref="J37" si="182">C37*E37*F37*H37/1000000*I37</f>
        <v>103.63983010697962</v>
      </c>
      <c r="K37" s="219">
        <f t="shared" ref="K37" si="183">1501.20185/G37-2.40935*G37+0.02115*G37^2+174.47635</f>
        <v>207.71571998039212</v>
      </c>
      <c r="L37" s="592">
        <v>2891</v>
      </c>
      <c r="M37" s="343">
        <f t="shared" ref="M37" si="184">C37*E37*F37*K37/1000000*L37</f>
        <v>4248.091273465503</v>
      </c>
      <c r="N37" s="219">
        <f>-0.25063622/G37-0.00657231*G37+0.00005332*G37^2+0.29056757</f>
        <v>0.1663960079843137</v>
      </c>
      <c r="O37" s="592">
        <v>840100</v>
      </c>
      <c r="P37" s="343">
        <f t="shared" ref="P37" si="185">C37*E37*F37*N37/1000000*O37</f>
        <v>988.89520246344136</v>
      </c>
      <c r="Q37" s="219">
        <f>0.093055673/G37-0.0002682273*G37+0.00000218*G37^2+0.0173678037</f>
        <v>1.7364748178039215E-2</v>
      </c>
      <c r="R37" s="592">
        <v>482200</v>
      </c>
      <c r="S37" s="343">
        <f t="shared" ref="S37" si="186">C37*E37*F37*Q37/1000000*R37</f>
        <v>59.234138706890839</v>
      </c>
      <c r="T37" s="219">
        <f t="shared" ref="T37" si="187">0.630901162/G37-0.001006579*G37+0.000008915*G37^2+0.0072170055</f>
        <v>2.13193878490196E-2</v>
      </c>
      <c r="U37" s="592">
        <v>160</v>
      </c>
      <c r="V37" s="343">
        <f t="shared" ref="V37" si="188">C37*E37*F37*T37*U37</f>
        <v>24130.765291363645</v>
      </c>
      <c r="W37" s="598"/>
      <c r="X37" s="598"/>
      <c r="Y37" s="598"/>
      <c r="Z37" s="608"/>
    </row>
    <row r="38" spans="1:26" ht="15.6" customHeight="1">
      <c r="A38" s="604"/>
      <c r="B38" s="589"/>
      <c r="C38" s="587"/>
      <c r="D38" s="217" t="s">
        <v>66</v>
      </c>
      <c r="E38" s="344">
        <f>'ｼｰﾄNO.4（表-4）60頁'!G40</f>
        <v>39.25</v>
      </c>
      <c r="F38" s="591"/>
      <c r="G38" s="591"/>
      <c r="H38" s="218">
        <f>12.28697452/G37-0.05907844*G37+0.00051753*G37^2+2.69979197</f>
        <v>2.3122697513490196</v>
      </c>
      <c r="I38" s="593"/>
      <c r="J38" s="345">
        <f t="shared" ref="J38" si="189">C37*E38*F37*H38/1000000*I37</f>
        <v>8.6091699130589951</v>
      </c>
      <c r="K38" s="218">
        <f t="shared" ref="K38" si="190">908.52069/G37-23.49889*G37+0.18396*G37^2+1364.81344</f>
        <v>1006.5282055411764</v>
      </c>
      <c r="L38" s="593"/>
      <c r="M38" s="345">
        <f t="shared" ref="M38" si="191">C37*E38*F37*K38/1000000*L37</f>
        <v>1083.4199353809117</v>
      </c>
      <c r="N38" s="218">
        <f>9.45345681/G37-0.14325844*G37+0.00124097*G37^2+5.98054622</f>
        <v>4.0379208647882354</v>
      </c>
      <c r="O38" s="593"/>
      <c r="P38" s="345">
        <f t="shared" ref="P38" si="192">C37*E38*F37*N38/1000000*O37</f>
        <v>1263.0239022423725</v>
      </c>
      <c r="Q38" s="218">
        <f>0.6037810576/G37-0.0052863845*G37+0.000423961*G37^2+0.3189943526</f>
        <v>0.41718482922666666</v>
      </c>
      <c r="R38" s="593"/>
      <c r="S38" s="345">
        <f t="shared" ref="S38" si="193">C37*E38*F37*Q38/1000000*R37</f>
        <v>74.899426874727297</v>
      </c>
      <c r="T38" s="218">
        <f t="shared" ref="T38" si="194">0.2877659/G37-0.008903887*G37+0.000069093*G37^2+0.516185391</f>
        <v>0.37740601064862755</v>
      </c>
      <c r="U38" s="593"/>
      <c r="V38" s="345">
        <f t="shared" ref="V38" si="195">C37*E38*F37*T38*U37</f>
        <v>22482.861058840896</v>
      </c>
      <c r="W38" s="598"/>
      <c r="X38" s="598"/>
      <c r="Y38" s="598"/>
      <c r="Z38" s="608"/>
    </row>
    <row r="39" spans="1:26" ht="15.6" customHeight="1">
      <c r="A39" s="604"/>
      <c r="B39" s="588" t="s">
        <v>49</v>
      </c>
      <c r="C39" s="586">
        <f>'ｼｰﾄNO.3（表-3）59頁'!$F$30</f>
        <v>9</v>
      </c>
      <c r="D39" s="216" t="s">
        <v>65</v>
      </c>
      <c r="E39" s="342">
        <f>'ｼｰﾄNO.4（表-4）60頁'!G41</f>
        <v>143.44999999999999</v>
      </c>
      <c r="F39" s="590">
        <f>'ｼｰﾄNO.4（表-4）60頁'!C41/1000</f>
        <v>0.84799999999999998</v>
      </c>
      <c r="G39" s="590">
        <f>'ｼｰﾄNO.4（表-4）60頁'!C41/1000/('ｼｰﾄNO.4（表-4）60頁'!D41/3600)</f>
        <v>19.952941176470585</v>
      </c>
      <c r="H39" s="219">
        <f>-2.71095565/G39-0.09453616*G39+0.00089493*G39^2+3.15403637</f>
        <v>1.488183867538571</v>
      </c>
      <c r="I39" s="592">
        <v>10000</v>
      </c>
      <c r="J39" s="343">
        <f t="shared" ref="J39" si="196">C39*E39*F39*H39/1000000*I39</f>
        <v>16.292791752934498</v>
      </c>
      <c r="K39" s="219">
        <f t="shared" ref="K39" si="197">1501.20185/G39-2.40935*G39+0.02115*G39^2+174.47635</f>
        <v>210.06008726918213</v>
      </c>
      <c r="L39" s="592">
        <v>2891</v>
      </c>
      <c r="M39" s="343">
        <f t="shared" ref="M39" si="198">C39*E39*F39*K39/1000000*L39</f>
        <v>664.86052397139883</v>
      </c>
      <c r="N39" s="219">
        <f>-0.25063622/G39-0.00657231*G39+0.00005332*G39^2+0.29056757</f>
        <v>0.16809703903852097</v>
      </c>
      <c r="O39" s="592">
        <v>840100</v>
      </c>
      <c r="P39" s="343">
        <f t="shared" ref="P39" si="199">C39*E39*F39*N39/1000000*O39</f>
        <v>154.60728813946099</v>
      </c>
      <c r="Q39" s="219">
        <f>0.093055673/G39-0.0002682273*G39+0.00000218*G39^2+0.0173678037</f>
        <v>1.7547538655790708E-2</v>
      </c>
      <c r="R39" s="592">
        <v>482200</v>
      </c>
      <c r="S39" s="343">
        <f t="shared" ref="S39" si="200">C39*E39*F39*Q39/1000000*R39</f>
        <v>9.263654052278083</v>
      </c>
      <c r="T39" s="219">
        <f t="shared" ref="T39" si="201">0.630901162/G39-0.001006579*G39+0.000008915*G39^2+0.0072170055</f>
        <v>2.2301489311553346E-2</v>
      </c>
      <c r="U39" s="592">
        <v>160</v>
      </c>
      <c r="V39" s="343">
        <f t="shared" ref="V39" si="202">C39*E39*F39*T39*U39</f>
        <v>3906.5443894043901</v>
      </c>
      <c r="W39" s="598"/>
      <c r="X39" s="598"/>
      <c r="Y39" s="598"/>
      <c r="Z39" s="608"/>
    </row>
    <row r="40" spans="1:26" ht="15.6" customHeight="1">
      <c r="A40" s="604"/>
      <c r="B40" s="589"/>
      <c r="C40" s="587"/>
      <c r="D40" s="217" t="s">
        <v>66</v>
      </c>
      <c r="E40" s="344">
        <f>'ｼｰﾄNO.4（表-4）60頁'!G42</f>
        <v>7.5500000000000007</v>
      </c>
      <c r="F40" s="591"/>
      <c r="G40" s="591"/>
      <c r="H40" s="218">
        <f>12.28697452/G39-0.05907844*G39+0.00051753*G39^2+2.69979197</f>
        <v>2.3428399655264318</v>
      </c>
      <c r="I40" s="593"/>
      <c r="J40" s="345">
        <f t="shared" ref="J40" si="203">C39*E40*F39*H40/1000000*I39</f>
        <v>1.3499818735757785</v>
      </c>
      <c r="K40" s="218">
        <f t="shared" ref="K40" si="204">908.52069/G39-23.49889*G39+0.18396*G39^2+1364.81344</f>
        <v>1014.7127712298761</v>
      </c>
      <c r="L40" s="593"/>
      <c r="M40" s="345">
        <f t="shared" ref="M40" si="205">C39*E40*F39*K40/1000000*L39</f>
        <v>169.03495855346006</v>
      </c>
      <c r="N40" s="218">
        <f>9.45345681/G39-0.14325844*G39+0.00124097*G39^2+5.98054622</f>
        <v>4.0899614332216476</v>
      </c>
      <c r="O40" s="593"/>
      <c r="P40" s="345">
        <f t="shared" ref="P40" si="206">C39*E40*F39*N40/1000000*O39</f>
        <v>197.98646925741264</v>
      </c>
      <c r="Q40" s="218">
        <f>0.6037810576/G39-0.0052863845*G39+0.000423961*G39^2+0.3189943526</f>
        <v>0.41256298175198597</v>
      </c>
      <c r="R40" s="593"/>
      <c r="S40" s="345">
        <f t="shared" ref="S40" si="207">C39*E40*F39*Q40/1000000*R39</f>
        <v>11.463118358514217</v>
      </c>
      <c r="T40" s="218">
        <f t="shared" ref="T40" si="208">0.2877659/G39-0.008903887*G39+0.000069093*G39^2+0.516185391</f>
        <v>0.3804561827020328</v>
      </c>
      <c r="U40" s="593"/>
      <c r="V40" s="345">
        <f t="shared" ref="V40" si="209">C39*E40*F39*T40*U39</f>
        <v>3507.5990363493524</v>
      </c>
      <c r="W40" s="598"/>
      <c r="X40" s="598"/>
      <c r="Y40" s="598"/>
      <c r="Z40" s="608"/>
    </row>
    <row r="41" spans="1:26" ht="15.6" customHeight="1">
      <c r="A41" s="604"/>
      <c r="B41" s="588" t="s">
        <v>50</v>
      </c>
      <c r="C41" s="586">
        <f>'ｼｰﾄNO.3（表-3）59頁'!$F$30</f>
        <v>9</v>
      </c>
      <c r="D41" s="216" t="s">
        <v>65</v>
      </c>
      <c r="E41" s="342">
        <f>'ｼｰﾄNO.4（表-4）60頁'!G43</f>
        <v>165.29999999999998</v>
      </c>
      <c r="F41" s="590">
        <f>'ｼｰﾄNO.4（表-4）60頁'!C43/1000</f>
        <v>0.91</v>
      </c>
      <c r="G41" s="590">
        <f>'ｼｰﾄNO.4（表-4）60頁'!C43/1000/('ｼｰﾄNO.4（表-4）60頁'!D43/3600)</f>
        <v>19.384615384615387</v>
      </c>
      <c r="H41" s="219">
        <f>-2.71095565/G41-0.09453616*G41+0.00089493*G41^2+3.15403637</f>
        <v>1.5179202440037101</v>
      </c>
      <c r="I41" s="592">
        <v>10000</v>
      </c>
      <c r="J41" s="343">
        <f t="shared" ref="J41" si="210">C41*E41*F41*H41/1000000*I41</f>
        <v>20.549710517739303</v>
      </c>
      <c r="K41" s="219">
        <f t="shared" ref="K41" si="211">1501.20185/G41-2.40935*G41+0.02115*G41^2+174.47635</f>
        <v>213.16237358528224</v>
      </c>
      <c r="L41" s="592">
        <v>2891</v>
      </c>
      <c r="M41" s="343">
        <f t="shared" ref="M41" si="212">C41*E41*F41*K41/1000000*L41</f>
        <v>834.28684271800591</v>
      </c>
      <c r="N41" s="219">
        <f>-0.25063622/G41-0.00657231*G41+0.00005332*G41^2+0.29056757</f>
        <v>0.17027192207335401</v>
      </c>
      <c r="O41" s="592">
        <v>840100</v>
      </c>
      <c r="P41" s="343">
        <f t="shared" ref="P41" si="213">C41*E41*F41*N41/1000000*O41</f>
        <v>193.65592033734399</v>
      </c>
      <c r="Q41" s="219">
        <f>0.093055673/G41-0.0002682273*G41+0.00000218*G41^2+0.0173678037</f>
        <v>1.778797574497511E-2</v>
      </c>
      <c r="R41" s="592">
        <v>482200</v>
      </c>
      <c r="S41" s="343">
        <f t="shared" ref="S41" si="214">C41*E41*F41*Q41/1000000*R41</f>
        <v>11.612092587475837</v>
      </c>
      <c r="T41" s="219">
        <f t="shared" ref="T41" si="215">0.630901162/G41-0.001006579*G41+0.000008915*G41^2+0.0072170055</f>
        <v>2.3601277187470647E-2</v>
      </c>
      <c r="U41" s="592">
        <v>160</v>
      </c>
      <c r="V41" s="343">
        <f t="shared" ref="V41" si="216">C41*E41*F41*T41*U41</f>
        <v>5112.2518824540912</v>
      </c>
      <c r="W41" s="598"/>
      <c r="X41" s="598"/>
      <c r="Y41" s="598"/>
      <c r="Z41" s="608"/>
    </row>
    <row r="42" spans="1:26" ht="15.6" customHeight="1">
      <c r="A42" s="604"/>
      <c r="B42" s="589"/>
      <c r="C42" s="587"/>
      <c r="D42" s="217" t="s">
        <v>66</v>
      </c>
      <c r="E42" s="344">
        <f>'ｼｰﾄNO.4（表-4）60頁'!G44</f>
        <v>8.7000000000000011</v>
      </c>
      <c r="F42" s="591"/>
      <c r="G42" s="591"/>
      <c r="H42" s="218">
        <f>12.28697452/G41-0.05907844*G41+0.00051753*G41^2+2.69979197</f>
        <v>2.3828997809279606</v>
      </c>
      <c r="I42" s="593"/>
      <c r="J42" s="345">
        <f t="shared" ref="J42" si="217">C41*E42*F41*H42/1000000*I41</f>
        <v>1.6978875809046001</v>
      </c>
      <c r="K42" s="218">
        <f t="shared" ref="K42" si="218">908.52069/G41-23.49889*G41+0.18396*G41^2+1364.81344</f>
        <v>1025.2900453895463</v>
      </c>
      <c r="L42" s="593"/>
      <c r="M42" s="345">
        <f t="shared" ref="M42" si="219">C41*E42*F41*K42/1000000*L41</f>
        <v>211.20198072757265</v>
      </c>
      <c r="N42" s="218">
        <f>9.45345681/G41-0.14325844*G41+0.00124097*G41^2+5.98054622</f>
        <v>4.1575257867899413</v>
      </c>
      <c r="O42" s="593"/>
      <c r="P42" s="345">
        <f t="shared" ref="P42" si="220">C41*E42*F41*N42/1000000*O41</f>
        <v>248.86801892284936</v>
      </c>
      <c r="Q42" s="218">
        <f>0.6037810576/G41-0.0052863845*G41+0.000423961*G41^2+0.3189943526</f>
        <v>0.40697624800460225</v>
      </c>
      <c r="R42" s="593"/>
      <c r="S42" s="345">
        <f t="shared" ref="S42" si="221">C41*E42*F41*Q42/1000000*R41</f>
        <v>13.982969940472486</v>
      </c>
      <c r="T42" s="218">
        <f t="shared" ref="T42" si="222">0.2877659/G41-0.008903887*G41+0.000069093*G41^2+0.516185391</f>
        <v>0.38439464697398334</v>
      </c>
      <c r="U42" s="593"/>
      <c r="V42" s="345">
        <f t="shared" ref="V42" si="223">C41*E42*F41*T42*U41</f>
        <v>4382.2834849339588</v>
      </c>
      <c r="W42" s="598"/>
      <c r="X42" s="598"/>
      <c r="Y42" s="598"/>
      <c r="Z42" s="608"/>
    </row>
    <row r="43" spans="1:26" ht="15.6" customHeight="1">
      <c r="A43" s="604"/>
      <c r="B43" s="588" t="s">
        <v>51</v>
      </c>
      <c r="C43" s="586">
        <f>'ｼｰﾄNO.3（表-3）59頁'!$F$30</f>
        <v>9</v>
      </c>
      <c r="D43" s="216" t="s">
        <v>65</v>
      </c>
      <c r="E43" s="342">
        <f>'ｼｰﾄNO.4（表-4）60頁'!G45</f>
        <v>45.599999999999994</v>
      </c>
      <c r="F43" s="590">
        <f>'ｼｰﾄNO.4（表-4）60頁'!C45/1000</f>
        <v>0.76100000000000001</v>
      </c>
      <c r="G43" s="590">
        <f>'ｼｰﾄNO.4（表-4）60頁'!C45/1000/('ｼｰﾄNO.4（表-4）60頁'!D45/3600)</f>
        <v>19.997080291970804</v>
      </c>
      <c r="H43" s="219">
        <f>-2.71095565/G43-0.09453616*G43+0.00089493*G43^2+3.15403637</f>
        <v>1.4858891048555183</v>
      </c>
      <c r="I43" s="592">
        <v>10000</v>
      </c>
      <c r="J43" s="343">
        <f t="shared" ref="J43" si="224">C43*E43*F43*H43/1000000*I43</f>
        <v>4.6406456424948823</v>
      </c>
      <c r="K43" s="219">
        <f t="shared" ref="K43" si="225">1501.20185/G43-2.40935*G43+0.02115*G43^2+174.47635</f>
        <v>209.82496648347652</v>
      </c>
      <c r="L43" s="592">
        <v>2891</v>
      </c>
      <c r="M43" s="343">
        <f t="shared" ref="M43" si="226">C43*E43*F43*K43/1000000*L43</f>
        <v>189.45115745907975</v>
      </c>
      <c r="N43" s="219">
        <f>-0.25063622/G43-0.00657231*G43+0.00005332*G43^2+0.29056757</f>
        <v>0.16792869179895592</v>
      </c>
      <c r="O43" s="592">
        <v>840100</v>
      </c>
      <c r="P43" s="343">
        <f t="shared" ref="P43" si="227">C43*E43*F43*N43/1000000*O43</f>
        <v>44.060345497321897</v>
      </c>
      <c r="Q43" s="219">
        <f>0.093055673/G43-0.0002682273*G43+0.00000218*G43^2+0.0173678037</f>
        <v>1.752924925310758E-2</v>
      </c>
      <c r="R43" s="592">
        <v>482200</v>
      </c>
      <c r="S43" s="343">
        <f t="shared" ref="S43" si="228">C43*E43*F43*Q43/1000000*R43</f>
        <v>2.6398699435271324</v>
      </c>
      <c r="T43" s="219">
        <f t="shared" ref="T43" si="229">0.630901162/G43-0.001006579*G43+0.000008915*G43^2+0.0072170055</f>
        <v>2.220298721525172E-2</v>
      </c>
      <c r="U43" s="592">
        <v>160</v>
      </c>
      <c r="V43" s="343">
        <f t="shared" ref="V43" si="230">C43*E43*F43*T43*U43</f>
        <v>1109.4900208542417</v>
      </c>
      <c r="W43" s="598"/>
      <c r="X43" s="598"/>
      <c r="Y43" s="598"/>
      <c r="Z43" s="608"/>
    </row>
    <row r="44" spans="1:26" ht="15.6" customHeight="1">
      <c r="A44" s="604"/>
      <c r="B44" s="589"/>
      <c r="C44" s="587"/>
      <c r="D44" s="217" t="s">
        <v>66</v>
      </c>
      <c r="E44" s="344">
        <f>'ｼｰﾄNO.4（表-4）60頁'!G46</f>
        <v>2.4000000000000004</v>
      </c>
      <c r="F44" s="591"/>
      <c r="G44" s="591"/>
      <c r="H44" s="218">
        <f>12.28697452/G43-0.05907844*G43+0.00051753*G43^2+2.69979197</f>
        <v>2.3397856497877036</v>
      </c>
      <c r="I44" s="593"/>
      <c r="J44" s="345">
        <f t="shared" ref="J44" si="231">C43*E44*F43*H44/1000000*I43</f>
        <v>0.38460460596950358</v>
      </c>
      <c r="K44" s="218">
        <f t="shared" ref="K44" si="232">908.52069/G43-23.49889*G43+0.18396*G43^2+1364.81344</f>
        <v>1013.8994340925833</v>
      </c>
      <c r="L44" s="593"/>
      <c r="M44" s="345">
        <f t="shared" ref="M44" si="233">C43*E44*F43*K44/1000000*L43</f>
        <v>48.18161801969616</v>
      </c>
      <c r="N44" s="218">
        <f>9.45345681/G43-0.14325844*G43+0.00124097*G43^2+5.98054622</f>
        <v>4.0847806265028197</v>
      </c>
      <c r="O44" s="593"/>
      <c r="P44" s="345">
        <f t="shared" ref="P44" si="234">C43*E44*F43*N44/1000000*O43</f>
        <v>56.407666021012929</v>
      </c>
      <c r="Q44" s="218">
        <f>0.6037810576/G43-0.0052863845*G43+0.000423961*G43^2+0.3189943526</f>
        <v>0.41301044790445707</v>
      </c>
      <c r="R44" s="593"/>
      <c r="S44" s="345">
        <f t="shared" ref="S44" si="235">C43*E44*F43*Q44/1000000*R43</f>
        <v>3.2736078396523092</v>
      </c>
      <c r="T44" s="218">
        <f t="shared" ref="T44" si="236">0.2877659/G43-0.008903887*G43+0.000069093*G43^2+0.516185391</f>
        <v>0.38015317487159356</v>
      </c>
      <c r="U44" s="593"/>
      <c r="V44" s="345">
        <f t="shared" ref="V44" si="237">C43*E44*F43*T44*U43</f>
        <v>999.80893236308907</v>
      </c>
      <c r="W44" s="598"/>
      <c r="X44" s="598"/>
      <c r="Y44" s="598"/>
      <c r="Z44" s="608"/>
    </row>
    <row r="45" spans="1:26" ht="15.6" customHeight="1">
      <c r="A45" s="604"/>
      <c r="B45" s="588" t="s">
        <v>52</v>
      </c>
      <c r="C45" s="586">
        <f>'ｼｰﾄNO.3（表-3）59頁'!$F$30</f>
        <v>9</v>
      </c>
      <c r="D45" s="216" t="s">
        <v>65</v>
      </c>
      <c r="E45" s="342">
        <f>'ｼｰﾄNO.4（表-4）60頁'!G47</f>
        <v>162.44999999999999</v>
      </c>
      <c r="F45" s="590">
        <f>'ｼｰﾄNO.4（表-4）60頁'!C47/1000</f>
        <v>0.84799999999999998</v>
      </c>
      <c r="G45" s="590">
        <f>'ｼｰﾄNO.4（表-4）60頁'!C47/1000/('ｼｰﾄNO.4（表-4）60頁'!D47/3600)</f>
        <v>29.63883495145631</v>
      </c>
      <c r="H45" s="219">
        <f>-2.71095565/G45-0.09453616*G45+0.00089493*G45^2+3.15403637</f>
        <v>1.046789078981619</v>
      </c>
      <c r="I45" s="592">
        <v>10000</v>
      </c>
      <c r="J45" s="343">
        <f t="shared" ref="J45" si="238">C45*E45*F45*H45/1000000*I45</f>
        <v>12.978283610404645</v>
      </c>
      <c r="K45" s="219">
        <f t="shared" ref="K45" si="239">1501.20185/G45-2.40935*G45+0.02115*G45^2+174.47635</f>
        <v>172.29528994222508</v>
      </c>
      <c r="L45" s="592">
        <v>2891</v>
      </c>
      <c r="M45" s="343">
        <f t="shared" ref="M45" si="240">C45*E45*F45*K45/1000000*L45</f>
        <v>617.56059120441284</v>
      </c>
      <c r="N45" s="219">
        <f>-0.25063622/G45-0.00657231*G45+0.00005332*G45^2+0.29056757</f>
        <v>0.13415512929699225</v>
      </c>
      <c r="O45" s="592">
        <v>840100</v>
      </c>
      <c r="P45" s="343">
        <f t="shared" ref="P45" si="241">C45*E45*F45*N45/1000000*O45</f>
        <v>139.73215091547931</v>
      </c>
      <c r="Q45" s="219">
        <f>0.093055673/G45-0.0002682273*G45+0.00000218*G45^2+0.0173678037</f>
        <v>1.4472556534503201E-2</v>
      </c>
      <c r="R45" s="592">
        <v>482200</v>
      </c>
      <c r="S45" s="343">
        <f t="shared" ref="S45" si="242">C45*E45*F45*Q45/1000000*R45</f>
        <v>8.6522794576786435</v>
      </c>
      <c r="T45" s="219">
        <f t="shared" ref="T45" si="243">0.630901162/G45-0.001006579*G45+0.000008915*G45^2+0.0072170055</f>
        <v>6.5009533410188333E-3</v>
      </c>
      <c r="U45" s="592">
        <v>160</v>
      </c>
      <c r="V45" s="343">
        <f t="shared" ref="V45" si="244">C45*E45*F45*T45*U45</f>
        <v>1289.6002511578599</v>
      </c>
      <c r="W45" s="598"/>
      <c r="X45" s="598"/>
      <c r="Y45" s="598"/>
      <c r="Z45" s="608"/>
    </row>
    <row r="46" spans="1:26" ht="15.6" customHeight="1">
      <c r="A46" s="604"/>
      <c r="B46" s="589"/>
      <c r="C46" s="587"/>
      <c r="D46" s="217" t="s">
        <v>66</v>
      </c>
      <c r="E46" s="344">
        <f>'ｼｰﾄNO.4（表-4）60頁'!G48</f>
        <v>8.5500000000000007</v>
      </c>
      <c r="F46" s="591"/>
      <c r="G46" s="591"/>
      <c r="H46" s="218">
        <f>12.28697452/G45-0.05907844*G45+0.00051753*G45^2+2.69979197</f>
        <v>1.8179621152766519</v>
      </c>
      <c r="I46" s="593"/>
      <c r="J46" s="345">
        <f t="shared" ref="J46" si="245">C45*E46*F45*H46/1000000*I45</f>
        <v>1.1862857268541656</v>
      </c>
      <c r="K46" s="218">
        <f t="shared" ref="K46" si="246">908.52069/G45-23.49889*G45+0.18396*G45^2+1364.81344</f>
        <v>860.58836819536759</v>
      </c>
      <c r="L46" s="593"/>
      <c r="M46" s="345">
        <f t="shared" ref="M46" si="247">C45*E46*F45*K46/1000000*L45</f>
        <v>162.34841011204654</v>
      </c>
      <c r="N46" s="218">
        <f>9.45345681/G45-0.14325844*G45+0.00124097*G45^2+5.98054622</f>
        <v>3.1436312088836642</v>
      </c>
      <c r="O46" s="593"/>
      <c r="P46" s="345">
        <f t="shared" ref="P46" si="248">C45*E46*F45*N46/1000000*O45</f>
        <v>172.33244622503449</v>
      </c>
      <c r="Q46" s="218">
        <f>0.6037810576/G45-0.0052863845*G45+0.000423961*G45^2+0.3189943526</f>
        <v>0.55511636451228497</v>
      </c>
      <c r="R46" s="593"/>
      <c r="S46" s="345">
        <f t="shared" ref="S46" si="249">C45*E46*F45*Q46/1000000*R45</f>
        <v>17.466895128249988</v>
      </c>
      <c r="T46" s="218">
        <f t="shared" ref="T46" si="250">0.2877659/G45-0.008903887*G45+0.000069093*G45^2+0.516185391</f>
        <v>0.3226891103938006</v>
      </c>
      <c r="U46" s="593"/>
      <c r="V46" s="345">
        <f t="shared" ref="V46" si="251">C45*E46*F45*T46*U45</f>
        <v>3369.0601814388656</v>
      </c>
      <c r="W46" s="598"/>
      <c r="X46" s="598"/>
      <c r="Y46" s="598"/>
      <c r="Z46" s="608"/>
    </row>
    <row r="47" spans="1:26" ht="15.6" customHeight="1">
      <c r="A47" s="604"/>
      <c r="B47" s="588" t="s">
        <v>53</v>
      </c>
      <c r="C47" s="586">
        <f>'ｼｰﾄNO.3（表-3）59頁'!$F$30</f>
        <v>9</v>
      </c>
      <c r="D47" s="216" t="s">
        <v>65</v>
      </c>
      <c r="E47" s="342">
        <f>'ｼｰﾄNO.4（表-4）60頁'!G49</f>
        <v>749.55</v>
      </c>
      <c r="F47" s="590">
        <f>'ｼｰﾄNO.4（表-4）60頁'!C49/1000</f>
        <v>0.61699999999999999</v>
      </c>
      <c r="G47" s="590">
        <f>'ｼｰﾄNO.4（表-4）60頁'!C49/1000/('ｼｰﾄNO.4（表-4）60頁'!D49/3600)</f>
        <v>26.131764705882354</v>
      </c>
      <c r="H47" s="219">
        <f>-2.71095565/G47-0.09453616*G47+0.00089493*G47^2+3.15403637</f>
        <v>1.1910179733605875</v>
      </c>
      <c r="I47" s="592">
        <v>10000</v>
      </c>
      <c r="J47" s="343">
        <f t="shared" ref="J47" si="252">C47*E47*F47*H47/1000000*I47</f>
        <v>49.573159292907746</v>
      </c>
      <c r="K47" s="219">
        <f t="shared" ref="K47" si="253">1501.20185/G47-2.40935*G47+0.02115*G47^2+174.47635</f>
        <v>183.40586129931432</v>
      </c>
      <c r="L47" s="592">
        <v>2891</v>
      </c>
      <c r="M47" s="343">
        <f t="shared" ref="M47" si="254">C47*E47*F47*K47/1000000*L47</f>
        <v>2206.9352143044653</v>
      </c>
      <c r="N47" s="219">
        <f>-0.25063622/G47-0.00657231*G47+0.00005332*G47^2+0.29056757</f>
        <v>0.14564084594972018</v>
      </c>
      <c r="O47" s="592">
        <v>840100</v>
      </c>
      <c r="P47" s="343">
        <f t="shared" ref="P47" si="255">C47*E47*F47*N47/1000000*O47</f>
        <v>509.26339335245848</v>
      </c>
      <c r="Q47" s="219">
        <f>0.093055673/G47-0.0002682273*G47+0.00000218*G47^2+0.0173678037</f>
        <v>1.5408223265116677E-2</v>
      </c>
      <c r="R47" s="592">
        <v>482200</v>
      </c>
      <c r="S47" s="343">
        <f t="shared" ref="S47" si="256">C47*E47*F47*Q47/1000000*R47</f>
        <v>30.924881971260866</v>
      </c>
      <c r="T47" s="219">
        <f t="shared" ref="T47" si="257">0.630901162/G47-0.001006579*G47+0.000008915*G47^2+0.0072170055</f>
        <v>1.114417343926544E-2</v>
      </c>
      <c r="U47" s="592">
        <v>160</v>
      </c>
      <c r="V47" s="343">
        <f t="shared" ref="V47" si="258">C47*E47*F47*T47*U47</f>
        <v>7421.5757941411257</v>
      </c>
      <c r="W47" s="598"/>
      <c r="X47" s="598"/>
      <c r="Y47" s="598"/>
      <c r="Z47" s="608"/>
    </row>
    <row r="48" spans="1:26" ht="15.6" customHeight="1">
      <c r="A48" s="604"/>
      <c r="B48" s="589"/>
      <c r="C48" s="587"/>
      <c r="D48" s="217" t="s">
        <v>66</v>
      </c>
      <c r="E48" s="344">
        <f>'ｼｰﾄNO.4（表-4）60頁'!G50</f>
        <v>39.450000000000003</v>
      </c>
      <c r="F48" s="591"/>
      <c r="G48" s="591"/>
      <c r="H48" s="218">
        <f>12.28697452/G47-0.05907844*G47+0.00051753*G47^2+2.69979197</f>
        <v>1.9795664000408051</v>
      </c>
      <c r="I48" s="593"/>
      <c r="J48" s="345">
        <f t="shared" ref="J48" si="259">C47*E48*F47*H48/1000000*I47</f>
        <v>4.3365539605637897</v>
      </c>
      <c r="K48" s="218">
        <f t="shared" ref="K48" si="260">908.52069/G47-23.49889*G47+0.18396*G47^2+1364.81344</f>
        <v>911.13348937866317</v>
      </c>
      <c r="L48" s="593"/>
      <c r="M48" s="345">
        <f t="shared" ref="M48" si="261">C47*E48*F47*K48/1000000*L47</f>
        <v>577.03848962036034</v>
      </c>
      <c r="N48" s="218">
        <f>9.45345681/G47-0.14325844*G47+0.00124097*G47^2+5.98054622</f>
        <v>3.4461316069828696</v>
      </c>
      <c r="O48" s="593"/>
      <c r="P48" s="345">
        <f t="shared" ref="P48" si="262">C47*E48*F47*N48/1000000*O47</f>
        <v>634.21648271924698</v>
      </c>
      <c r="Q48" s="218">
        <f>0.6037810576/G47-0.0052863845*G47+0.000423961*G47^2+0.3189943526</f>
        <v>0.49346692837210338</v>
      </c>
      <c r="R48" s="593"/>
      <c r="S48" s="345">
        <f t="shared" ref="S48" si="263">C47*E48*F47*Q48/1000000*R47</f>
        <v>52.126664867791085</v>
      </c>
      <c r="T48" s="218">
        <f t="shared" ref="T48" si="264">0.2877659/G47-0.008903887*G47+0.000069093*G47^2+0.516185391</f>
        <v>0.34170469876159476</v>
      </c>
      <c r="U48" s="593"/>
      <c r="V48" s="345">
        <f t="shared" ref="V48" si="265">C47*E48*F47*T48*U47</f>
        <v>11976.932845312433</v>
      </c>
      <c r="W48" s="598"/>
      <c r="X48" s="598"/>
      <c r="Y48" s="598"/>
      <c r="Z48" s="608"/>
    </row>
    <row r="49" spans="1:26" ht="15.6" customHeight="1">
      <c r="A49" s="604"/>
      <c r="B49" s="588" t="s">
        <v>54</v>
      </c>
      <c r="C49" s="586">
        <f>'ｼｰﾄNO.3（表-3）59頁'!$F$30</f>
        <v>9</v>
      </c>
      <c r="D49" s="216" t="s">
        <v>65</v>
      </c>
      <c r="E49" s="342">
        <f>'ｼｰﾄNO.4（表-4）60頁'!G51</f>
        <v>144.4</v>
      </c>
      <c r="F49" s="590">
        <f>'ｼｰﾄNO.4（表-4）60頁'!C51/1000</f>
        <v>0.82399999999999995</v>
      </c>
      <c r="G49" s="590">
        <f>'ｼｰﾄNO.4（表-4）60頁'!C51/1000/('ｼｰﾄNO.4（表-4）60頁'!D51/3600)</f>
        <v>26.967272727272725</v>
      </c>
      <c r="H49" s="219">
        <f>-2.71095565/G49-0.09453616*G49+0.00089493*G49^2+3.15403637</f>
        <v>1.1549496873745426</v>
      </c>
      <c r="I49" s="592">
        <v>10000</v>
      </c>
      <c r="J49" s="343">
        <f t="shared" ref="J49" si="266">C49*E49*F49*H49/1000000*I49</f>
        <v>12.368014336986514</v>
      </c>
      <c r="K49" s="219">
        <f t="shared" ref="K49" si="267">1501.20185/G49-2.40935*G49+0.02115*G49^2+174.47635</f>
        <v>180.55129061941417</v>
      </c>
      <c r="L49" s="592">
        <v>2891</v>
      </c>
      <c r="M49" s="343">
        <f t="shared" ref="M49" si="268">C49*E49*F49*K49/1000000*L49</f>
        <v>558.96627184251702</v>
      </c>
      <c r="N49" s="219">
        <f>-0.25063622/G49-0.00657231*G49+0.00005332*G49^2+0.29056757</f>
        <v>0.14281231138487471</v>
      </c>
      <c r="O49" s="592">
        <v>840100</v>
      </c>
      <c r="P49" s="343">
        <f t="shared" ref="P49" si="269">C49*E49*F49*N49/1000000*O49</f>
        <v>128.47941404252384</v>
      </c>
      <c r="Q49" s="219">
        <f>0.093055673/G49-0.0002682273*G49+0.00000218*G49^2+0.0173678037</f>
        <v>1.517050368921115E-2</v>
      </c>
      <c r="R49" s="592">
        <v>482200</v>
      </c>
      <c r="S49" s="343">
        <f t="shared" ref="S49" si="270">C49*E49*F49*Q49/1000000*R49</f>
        <v>7.8336492252346774</v>
      </c>
      <c r="T49" s="219">
        <f t="shared" ref="T49" si="271">0.630901162/G49-0.001006579*G49+0.000008915*G49^2+0.0072170055</f>
        <v>9.9506717588301249E-3</v>
      </c>
      <c r="U49" s="592">
        <v>160</v>
      </c>
      <c r="V49" s="343">
        <f t="shared" ref="V49" si="272">C49*E49*F49*T49*U49</f>
        <v>1704.940775463539</v>
      </c>
      <c r="W49" s="598"/>
      <c r="X49" s="598"/>
      <c r="Y49" s="598"/>
      <c r="Z49" s="608"/>
    </row>
    <row r="50" spans="1:26" ht="15.6" customHeight="1">
      <c r="A50" s="604"/>
      <c r="B50" s="589"/>
      <c r="C50" s="587"/>
      <c r="D50" s="217" t="s">
        <v>66</v>
      </c>
      <c r="E50" s="344">
        <f>'ｼｰﾄNO.4（表-4）60頁'!G52</f>
        <v>7.6000000000000005</v>
      </c>
      <c r="F50" s="591"/>
      <c r="G50" s="591"/>
      <c r="H50" s="218">
        <f>12.28697452/G49-0.05907844*G49+0.00051753*G49^2+2.69979197</f>
        <v>1.9385982774635997</v>
      </c>
      <c r="I50" s="593"/>
      <c r="J50" s="345">
        <f t="shared" ref="J50" si="273">C49*E50*F49*H50/1000000*I49</f>
        <v>1.0926250067509242</v>
      </c>
      <c r="K50" s="218">
        <f t="shared" ref="K50" si="274">908.52069/G49-23.49889*G49+0.18396*G49^2+1364.81344</f>
        <v>898.58414463141548</v>
      </c>
      <c r="L50" s="593"/>
      <c r="M50" s="345">
        <f t="shared" ref="M50" si="275">C49*E50*F49*K50/1000000*L49</f>
        <v>146.41654560443365</v>
      </c>
      <c r="N50" s="218">
        <f>9.45345681/G49-0.14325844*G49+0.00124097*G49^2+5.98054622</f>
        <v>3.3702850674289411</v>
      </c>
      <c r="O50" s="593"/>
      <c r="P50" s="345">
        <f t="shared" ref="P50" si="276">C49*E50*F49*N50/1000000*O49</f>
        <v>159.58090890526418</v>
      </c>
      <c r="Q50" s="218">
        <f>0.6037810576/G49-0.0052863845*G49+0.000423961*G49^2+0.3189943526</f>
        <v>0.50714314848764186</v>
      </c>
      <c r="R50" s="593"/>
      <c r="S50" s="345">
        <f t="shared" ref="S50" si="277">C49*E50*F49*Q50/1000000*R49</f>
        <v>13.782915131755681</v>
      </c>
      <c r="T50" s="218">
        <f t="shared" ref="T50" si="278">0.2877659/G49-0.008903887*G49+0.000069093*G49^2+0.516185391</f>
        <v>0.33698953752519956</v>
      </c>
      <c r="U50" s="593"/>
      <c r="V50" s="345">
        <f t="shared" ref="V50" si="279">C49*E50*F49*T50*U49</f>
        <v>3038.9231229088459</v>
      </c>
      <c r="W50" s="598"/>
      <c r="X50" s="598"/>
      <c r="Y50" s="598"/>
      <c r="Z50" s="608"/>
    </row>
    <row r="51" spans="1:26" ht="15.6" customHeight="1">
      <c r="A51" s="604"/>
      <c r="B51" s="588" t="s">
        <v>55</v>
      </c>
      <c r="C51" s="586">
        <f>'ｼｰﾄNO.3（表-3）59頁'!$F$30</f>
        <v>9</v>
      </c>
      <c r="D51" s="216" t="s">
        <v>65</v>
      </c>
      <c r="E51" s="342">
        <f>'ｼｰﾄNO.4（表-4）60頁'!G53</f>
        <v>43.699999999999996</v>
      </c>
      <c r="F51" s="590">
        <f>'ｼｰﾄNO.4（表-4）60頁'!C53/1000</f>
        <v>0.91</v>
      </c>
      <c r="G51" s="590">
        <f>'ｼｰﾄNO.4（表-4）60頁'!C53/1000/('ｼｰﾄNO.4（表-4）60頁'!D53/3600)</f>
        <v>24.81818181818182</v>
      </c>
      <c r="H51" s="219">
        <f>-2.71095565/G51-0.09453616*G51+0.00089493*G51^2+3.15403637</f>
        <v>1.2498132246792601</v>
      </c>
      <c r="I51" s="592">
        <v>10000</v>
      </c>
      <c r="J51" s="343">
        <f t="shared" ref="J51" si="280">C51*E51*F51*H51/1000000*I51</f>
        <v>4.473119025523812</v>
      </c>
      <c r="K51" s="219">
        <f t="shared" ref="K51" si="281">1501.20185/G51-2.40935*G51+0.02115*G51^2+174.47635</f>
        <v>188.19582671268125</v>
      </c>
      <c r="L51" s="592">
        <v>2891</v>
      </c>
      <c r="M51" s="343">
        <f t="shared" ref="M51" si="282">C51*E51*F51*K51/1000000*L51</f>
        <v>194.72576514833983</v>
      </c>
      <c r="N51" s="219">
        <f>-0.25063622/G51-0.00657231*G51+0.00005332*G51^2+0.29056757</f>
        <v>0.15019792551509098</v>
      </c>
      <c r="O51" s="592">
        <v>840100</v>
      </c>
      <c r="P51" s="343">
        <f t="shared" ref="P51" si="283">C51*E51*F51*N51/1000000*O51</f>
        <v>45.160657662740746</v>
      </c>
      <c r="Q51" s="219">
        <f>0.093055673/G51-0.0002682273*G51+0.00000218*G51^2+0.0173678037</f>
        <v>1.5803139665982503E-2</v>
      </c>
      <c r="R51" s="592">
        <v>482200</v>
      </c>
      <c r="S51" s="343">
        <f t="shared" ref="S51" si="284">C51*E51*F51*Q51/1000000*R51</f>
        <v>2.7273189064305079</v>
      </c>
      <c r="T51" s="219">
        <f t="shared" ref="T51" si="285">0.630901162/G51-0.001006579*G51+0.000008915*G51^2+0.0072170055</f>
        <v>1.314759506122665E-2</v>
      </c>
      <c r="U51" s="592">
        <v>160</v>
      </c>
      <c r="V51" s="343">
        <f t="shared" ref="V51" si="286">C51*E51*F51*T51*U51</f>
        <v>752.8901944317123</v>
      </c>
      <c r="W51" s="598"/>
      <c r="X51" s="598"/>
      <c r="Y51" s="598"/>
      <c r="Z51" s="608"/>
    </row>
    <row r="52" spans="1:26" ht="15.6" customHeight="1">
      <c r="A52" s="604"/>
      <c r="B52" s="589"/>
      <c r="C52" s="587"/>
      <c r="D52" s="217" t="s">
        <v>66</v>
      </c>
      <c r="E52" s="344">
        <f>'ｼｰﾄNO.4（表-4）60頁'!G54</f>
        <v>2.3000000000000003</v>
      </c>
      <c r="F52" s="591"/>
      <c r="G52" s="591"/>
      <c r="H52" s="218">
        <f>12.28697452/G51-0.05907844*G51+0.00051753*G51^2+2.69979197</f>
        <v>2.047420604207308</v>
      </c>
      <c r="I52" s="593"/>
      <c r="J52" s="345">
        <f t="shared" ref="J52" si="287">C51*E52*F51*H52/1000000*I51</f>
        <v>0.38567261921453067</v>
      </c>
      <c r="K52" s="218">
        <f t="shared" ref="K52" si="288">908.52069/G51-23.49889*G51+0.18396*G51^2+1364.81344</f>
        <v>931.52949390972651</v>
      </c>
      <c r="L52" s="593"/>
      <c r="M52" s="345">
        <f t="shared" ref="M52" si="289">C51*E52*F51*K52/1000000*L51</f>
        <v>50.729016132963814</v>
      </c>
      <c r="N52" s="218">
        <f>9.45345681/G51-0.14325844*G51+0.00124097*G51^2+5.98054622</f>
        <v>3.5704064535918629</v>
      </c>
      <c r="O52" s="593"/>
      <c r="P52" s="345">
        <f t="shared" ref="P52" si="290">C51*E52*F51*N52/1000000*O51</f>
        <v>56.501552522336979</v>
      </c>
      <c r="Q52" s="218">
        <f>0.6037810576/G51-0.0052863845*G51+0.000423961*G51^2+0.3189943526</f>
        <v>0.47325952473081168</v>
      </c>
      <c r="R52" s="593"/>
      <c r="S52" s="345">
        <f t="shared" ref="S52" si="291">C51*E52*F51*Q52/1000000*R51</f>
        <v>4.2987115775982438</v>
      </c>
      <c r="T52" s="218">
        <f t="shared" ref="T52" si="292">0.2877659/G51-0.008903887*G51+0.000069093*G51^2+0.516185391</f>
        <v>0.34935935843341515</v>
      </c>
      <c r="U52" s="593"/>
      <c r="V52" s="345">
        <f t="shared" ref="V52" si="293">C51*E52*F51*T52*U51</f>
        <v>1052.9411575696388</v>
      </c>
      <c r="W52" s="598"/>
      <c r="X52" s="598"/>
      <c r="Y52" s="598"/>
      <c r="Z52" s="608"/>
    </row>
    <row r="53" spans="1:26" ht="15.6" customHeight="1">
      <c r="A53" s="604"/>
      <c r="B53" s="588" t="s">
        <v>56</v>
      </c>
      <c r="C53" s="586">
        <f>'ｼｰﾄNO.3（表-3）59頁'!$F$30</f>
        <v>9</v>
      </c>
      <c r="D53" s="216" t="s">
        <v>65</v>
      </c>
      <c r="E53" s="342">
        <f>'ｼｰﾄNO.4（表-4）60頁'!G55</f>
        <v>745.75</v>
      </c>
      <c r="F53" s="590">
        <f>'ｼｰﾄNO.4（表-4）60頁'!C55/1000</f>
        <v>0.61699999999999999</v>
      </c>
      <c r="G53" s="590">
        <f>'ｼｰﾄNO.4（表-4）60頁'!C55/1000/('ｼｰﾄNO.4（表-4）60頁'!D55/3600)</f>
        <v>26.442857142857143</v>
      </c>
      <c r="H53" s="219">
        <f>-2.71095565/G53-0.09453616*G53+0.00089493*G53^2+3.15403637</f>
        <v>1.1774660682172056</v>
      </c>
      <c r="I53" s="592">
        <v>10000</v>
      </c>
      <c r="J53" s="343">
        <f t="shared" ref="J53" si="294">C53*E53*F53*H53/1000000*I53</f>
        <v>48.760633140311633</v>
      </c>
      <c r="K53" s="219">
        <f t="shared" ref="K53" si="295">1501.20185/G53-2.40935*G53+0.02115*G53^2+174.47635</f>
        <v>182.32639925899403</v>
      </c>
      <c r="L53" s="592">
        <v>2891</v>
      </c>
      <c r="M53" s="343">
        <f t="shared" ref="M53" si="296">C53*E53*F53*K53/1000000*L53</f>
        <v>2182.8233075539833</v>
      </c>
      <c r="N53" s="219">
        <f>-0.25063622/G53-0.00657231*G53+0.00005332*G53^2+0.29056757</f>
        <v>0.14458116706475485</v>
      </c>
      <c r="O53" s="592">
        <v>840100</v>
      </c>
      <c r="P53" s="343">
        <f t="shared" ref="P53" si="297">C53*E53*F53*N53/1000000*O53</f>
        <v>502.99497485611539</v>
      </c>
      <c r="Q53" s="219">
        <f>0.093055673/G53-0.0002682273*G53+0.00000218*G53^2+0.0173678037</f>
        <v>1.5318540593027376E-2</v>
      </c>
      <c r="R53" s="592">
        <v>482200</v>
      </c>
      <c r="S53" s="343">
        <f t="shared" ref="S53" si="298">C53*E53*F53*Q53/1000000*R53</f>
        <v>30.589017877850274</v>
      </c>
      <c r="T53" s="219">
        <f t="shared" ref="T53" si="299">0.630901162/G53-0.001006579*G53+0.000008915*G53^2+0.0072170055</f>
        <v>1.0692808027495889E-2</v>
      </c>
      <c r="U53" s="592">
        <v>160</v>
      </c>
      <c r="V53" s="343">
        <f t="shared" ref="V53" si="300">C53*E53*F53*T53*U53</f>
        <v>7084.883086378014</v>
      </c>
      <c r="W53" s="598"/>
      <c r="X53" s="598"/>
      <c r="Y53" s="598"/>
      <c r="Z53" s="608"/>
    </row>
    <row r="54" spans="1:26" ht="15.6" customHeight="1">
      <c r="A54" s="605"/>
      <c r="B54" s="589"/>
      <c r="C54" s="587"/>
      <c r="D54" s="217" t="s">
        <v>66</v>
      </c>
      <c r="E54" s="344">
        <f>'ｼｰﾄNO.4（表-4）60頁'!G56</f>
        <v>39.25</v>
      </c>
      <c r="F54" s="591"/>
      <c r="G54" s="591"/>
      <c r="H54" s="218">
        <f>12.28697452/G53-0.05907844*G53+0.00051753*G53^2+2.69979197</f>
        <v>1.9641203577708941</v>
      </c>
      <c r="I54" s="593"/>
      <c r="J54" s="345">
        <f t="shared" ref="J54" si="301">C53*E54*F53*H54/1000000*I53</f>
        <v>4.2809034360804468</v>
      </c>
      <c r="K54" s="218">
        <f t="shared" ref="K54" si="302">908.52069/G53-23.49889*G53+0.18396*G53^2+1364.81344</f>
        <v>906.42291010988652</v>
      </c>
      <c r="L54" s="593"/>
      <c r="M54" s="345">
        <f t="shared" ref="M54" si="303">C53*E54*F53*K54/1000000*L53</f>
        <v>571.14489605050221</v>
      </c>
      <c r="N54" s="218">
        <f>9.45345681/G53-0.14325844*G53+0.00124097*G53^2+5.98054622</f>
        <v>3.4176057447057486</v>
      </c>
      <c r="O54" s="593"/>
      <c r="P54" s="345">
        <f t="shared" ref="P54" si="304">C53*E54*F53*N54/1000000*O53</f>
        <v>625.77798468202207</v>
      </c>
      <c r="Q54" s="218">
        <f>0.6037810576/G53-0.0052863845*G53+0.000423961*G53^2+0.3189943526</f>
        <v>0.49848467025916887</v>
      </c>
      <c r="R54" s="593"/>
      <c r="S54" s="345">
        <f t="shared" ref="S54" si="305">C53*E54*F53*Q54/1000000*R53</f>
        <v>52.38975261724277</v>
      </c>
      <c r="T54" s="218">
        <f t="shared" ref="T54" si="306">0.2877659/G53-0.008903887*G53+0.000069093*G53^2+0.516185391</f>
        <v>0.33993526781315708</v>
      </c>
      <c r="U54" s="593"/>
      <c r="V54" s="345">
        <f t="shared" ref="V54" si="307">C53*E54*F53*T54*U53</f>
        <v>11854.508204805377</v>
      </c>
      <c r="W54" s="599"/>
      <c r="X54" s="599"/>
      <c r="Y54" s="599"/>
      <c r="Z54" s="608"/>
    </row>
    <row r="55" spans="1:26" ht="15.6" customHeight="1">
      <c r="A55" s="603" t="s">
        <v>925</v>
      </c>
      <c r="B55" s="588" t="s">
        <v>45</v>
      </c>
      <c r="C55" s="586">
        <f>'ｼｰﾄNO.3（表-3）59頁'!$F$30</f>
        <v>9</v>
      </c>
      <c r="D55" s="216" t="s">
        <v>65</v>
      </c>
      <c r="E55" s="342">
        <f>'ｼｰﾄNO.4（表-4）60頁'!G60</f>
        <v>775.19999999999993</v>
      </c>
      <c r="F55" s="590">
        <f>'ｼｰﾄNO.4（表-4）60頁'!C60/1000</f>
        <v>1.054</v>
      </c>
      <c r="G55" s="590">
        <f>'ｼｰﾄNO.4（表-4）60頁'!C60/1000/('ｼｰﾄNO.4（表-4）60頁'!D60/3600)</f>
        <v>30.3552</v>
      </c>
      <c r="H55" s="219">
        <f>-2.71095565/G55-0.09453616*G55+0.00089493*G55^2+3.15403637</f>
        <v>1.0196872006283328</v>
      </c>
      <c r="I55" s="592">
        <v>10000</v>
      </c>
      <c r="J55" s="343">
        <f>C55*E55*F55*H55/1000000*I55</f>
        <v>74.983179590563154</v>
      </c>
      <c r="K55" s="219">
        <f>1501.20185/G55-2.40935*G55+0.02115*G55^2+174.47635</f>
        <v>170.282986261009</v>
      </c>
      <c r="L55" s="592">
        <v>2891</v>
      </c>
      <c r="M55" s="343">
        <f>C55*E55*F55*K55/1000000*L55</f>
        <v>3620.0638770076703</v>
      </c>
      <c r="N55" s="219">
        <f>-0.25063622/G55-0.00657231*G55+0.00005332*G55^2+0.29056757</f>
        <v>0.13193808816768687</v>
      </c>
      <c r="O55" s="592">
        <v>840100</v>
      </c>
      <c r="P55" s="343">
        <f>C55*E55*F55*N55/1000000*O55</f>
        <v>815.07590670371326</v>
      </c>
      <c r="Q55" s="219">
        <f>0.093055673/G55-0.0002682273*G55+0.00000218*G55^2+0.0173678037</f>
        <v>1.4300005108880222E-2</v>
      </c>
      <c r="R55" s="592">
        <v>482200</v>
      </c>
      <c r="S55" s="343">
        <f>C55*E55*F55*Q55/1000000*R55</f>
        <v>50.706108691190551</v>
      </c>
      <c r="T55" s="219">
        <f>0.630901162/G55-0.001006579*G55+0.000008915*G55^2+0.0072170055</f>
        <v>5.6606765845306928E-3</v>
      </c>
      <c r="U55" s="592">
        <v>160</v>
      </c>
      <c r="V55" s="343">
        <f>C55*E55*F55*T55*U55</f>
        <v>6660.1683917249993</v>
      </c>
      <c r="W55" s="597">
        <f>SUM(J55:J78)+SUM(M55:M78)+SUM(P55:P78)+SUM(S55:S78)+SUM(V55:V78)</f>
        <v>145604.8205025979</v>
      </c>
      <c r="X55" s="597">
        <f>'ｼｰﾄNO.3（表-3）59頁'!F34</f>
        <v>38</v>
      </c>
      <c r="Y55" s="597">
        <f>W55*X55</f>
        <v>5532983.1790987197</v>
      </c>
      <c r="Z55" s="608"/>
    </row>
    <row r="56" spans="1:26" ht="15.6" customHeight="1">
      <c r="A56" s="604"/>
      <c r="B56" s="589"/>
      <c r="C56" s="587"/>
      <c r="D56" s="217" t="s">
        <v>66</v>
      </c>
      <c r="E56" s="344">
        <f>'ｼｰﾄNO.4（表-4）60頁'!G61</f>
        <v>40.800000000000004</v>
      </c>
      <c r="F56" s="591"/>
      <c r="G56" s="591"/>
      <c r="H56" s="218">
        <f>12.28697452/G55-0.05907844*G55+0.00051753*G55^2+2.69979197</f>
        <v>1.7880993041444451</v>
      </c>
      <c r="I56" s="593"/>
      <c r="J56" s="345">
        <f>C55*E56*F55*H56/1000000*I55</f>
        <v>6.9204592796385969</v>
      </c>
      <c r="K56" s="218">
        <f>908.52069/G55-23.49889*G55+0.18396*G55^2+1364.81344</f>
        <v>850.93735535512485</v>
      </c>
      <c r="L56" s="593"/>
      <c r="M56" s="345">
        <f>C55*E56*F55*K56/1000000*L55</f>
        <v>952.11402883131154</v>
      </c>
      <c r="N56" s="218">
        <f>9.45345681/G55-0.14325844*G55+0.00124097*G55^2+5.98054622</f>
        <v>3.08681266468583</v>
      </c>
      <c r="O56" s="593"/>
      <c r="P56" s="345">
        <f>C55*E56*F55*N56/1000000*O55</f>
        <v>1003.6552057481975</v>
      </c>
      <c r="Q56" s="218">
        <f>0.6037810576/G55-0.0052863845*G55+0.000423961*G55^2+0.3189943526</f>
        <v>0.56906947192405255</v>
      </c>
      <c r="R56" s="593"/>
      <c r="S56" s="345">
        <f>C55*E56*F55*Q56/1000000*R55</f>
        <v>106.20275372562978</v>
      </c>
      <c r="T56" s="218">
        <f>0.2877659/G55-0.008903887*G55+0.000069093*G55^2+0.516185391</f>
        <v>0.31905100162406913</v>
      </c>
      <c r="U56" s="593"/>
      <c r="V56" s="345">
        <f>C55*E56*F55*T56*U55</f>
        <v>19757.108207577847</v>
      </c>
      <c r="W56" s="598"/>
      <c r="X56" s="598"/>
      <c r="Y56" s="598"/>
      <c r="Z56" s="608"/>
    </row>
    <row r="57" spans="1:26" ht="15.6" customHeight="1">
      <c r="A57" s="604"/>
      <c r="B57" s="588" t="s">
        <v>46</v>
      </c>
      <c r="C57" s="586">
        <f>'ｼｰﾄNO.3（表-3）59頁'!$F$30</f>
        <v>9</v>
      </c>
      <c r="D57" s="216" t="s">
        <v>65</v>
      </c>
      <c r="E57" s="342">
        <f>'ｼｰﾄNO.4（表-4）60頁'!G62</f>
        <v>148.19999999999999</v>
      </c>
      <c r="F57" s="590">
        <f>'ｼｰﾄNO.4（表-4）60頁'!C62/1000</f>
        <v>0.76100000000000001</v>
      </c>
      <c r="G57" s="590">
        <f>'ｼｰﾄNO.4（表-4）60頁'!C62/1000/('ｼｰﾄNO.4（表-4）60頁'!D62/3600)</f>
        <v>27.672727272727272</v>
      </c>
      <c r="H57" s="219">
        <f>-2.71095565/G57-0.09453616*G57+0.00089493*G57^2+3.15403637</f>
        <v>1.1253174555891423</v>
      </c>
      <c r="I57" s="592">
        <v>10000</v>
      </c>
      <c r="J57" s="343">
        <f t="shared" ref="J57" si="308">C57*E57*F57*H57/1000000*I57</f>
        <v>11.422217493435111</v>
      </c>
      <c r="K57" s="219">
        <f t="shared" ref="K57" si="309">1501.20185/G57-2.40935*G57+0.02115*G57^2+174.47635</f>
        <v>178.24773232685354</v>
      </c>
      <c r="L57" s="592">
        <v>2891</v>
      </c>
      <c r="M57" s="343">
        <f t="shared" ref="M57" si="310">C57*E57*F57*K57/1000000*L57</f>
        <v>523.05514091872021</v>
      </c>
      <c r="N57" s="219">
        <f>-0.25063622/G57-0.00657231*G57+0.00005332*G57^2+0.29056757</f>
        <v>0.14046805216606251</v>
      </c>
      <c r="O57" s="592">
        <v>840100</v>
      </c>
      <c r="P57" s="343">
        <f t="shared" ref="P57" si="311">C57*E57*F57*N57/1000000*O57</f>
        <v>119.77989134127135</v>
      </c>
      <c r="Q57" s="219">
        <f>0.093055673/G57-0.0002682273*G57+0.00000218*G57^2+0.0173678037</f>
        <v>1.4977344248710157E-2</v>
      </c>
      <c r="R57" s="592">
        <v>482200</v>
      </c>
      <c r="S57" s="343">
        <f t="shared" ref="S57" si="312">C57*E57*F57*Q57/1000000*R57</f>
        <v>7.3305639689226068</v>
      </c>
      <c r="T57" s="219">
        <f t="shared" ref="T57" si="313">0.630901162/G57-0.001006579*G57+0.000008915*G57^2+0.0072170055</f>
        <v>8.9878088083241922E-3</v>
      </c>
      <c r="U57" s="592">
        <v>160</v>
      </c>
      <c r="V57" s="343">
        <f t="shared" ref="V57" si="314">C57*E57*F57*T57*U57</f>
        <v>1459.6514999489723</v>
      </c>
      <c r="W57" s="598"/>
      <c r="X57" s="598"/>
      <c r="Y57" s="598"/>
      <c r="Z57" s="608"/>
    </row>
    <row r="58" spans="1:26" ht="15.6" customHeight="1">
      <c r="A58" s="604"/>
      <c r="B58" s="589"/>
      <c r="C58" s="587"/>
      <c r="D58" s="217" t="s">
        <v>66</v>
      </c>
      <c r="E58" s="344">
        <f>'ｼｰﾄNO.4（表-4）60頁'!G63</f>
        <v>7.8000000000000007</v>
      </c>
      <c r="F58" s="591"/>
      <c r="G58" s="591"/>
      <c r="H58" s="218">
        <f>12.28697452/G57-0.05907844*G57+0.00051753*G57^2+2.69979197</f>
        <v>1.9052546987913122</v>
      </c>
      <c r="I58" s="593"/>
      <c r="J58" s="345">
        <f t="shared" ref="J58" si="315">C57*E58*F57*H58/1000000*I57</f>
        <v>1.0178289756976926</v>
      </c>
      <c r="K58" s="218">
        <f t="shared" ref="K58" si="316">908.52069/G57-23.49889*G57+0.18396*G57^2+1364.81344</f>
        <v>888.23882956636658</v>
      </c>
      <c r="L58" s="593"/>
      <c r="M58" s="345">
        <f t="shared" ref="M58" si="317">C57*E58*F57*K58/1000000*L57</f>
        <v>137.18278491088728</v>
      </c>
      <c r="N58" s="218">
        <f>9.45345681/G57-0.14325844*G57+0.00124097*G57^2+5.98054622</f>
        <v>3.3081206580272831</v>
      </c>
      <c r="O58" s="593"/>
      <c r="P58" s="345">
        <f t="shared" ref="P58" si="318">C57*E58*F57*N58/1000000*O57</f>
        <v>148.46842277884443</v>
      </c>
      <c r="Q58" s="218">
        <f>0.6037810576/G57-0.0052863845*G57+0.000423961*G57^2+0.3189943526</f>
        <v>0.51918509274998492</v>
      </c>
      <c r="R58" s="593"/>
      <c r="S58" s="345">
        <f t="shared" ref="S58" si="319">C57*E58*F57*Q58/1000000*R57</f>
        <v>13.374303955412156</v>
      </c>
      <c r="T58" s="218">
        <f t="shared" ref="T58" si="320">0.2877659/G57-0.008903887*G57+0.000069093*G57^2+0.516185391</f>
        <v>0.33309947964734837</v>
      </c>
      <c r="U58" s="593"/>
      <c r="V58" s="345">
        <f t="shared" ref="V58" si="321">C57*E58*F57*T58*U57</f>
        <v>2847.1851234586525</v>
      </c>
      <c r="W58" s="598"/>
      <c r="X58" s="598"/>
      <c r="Y58" s="598"/>
      <c r="Z58" s="608"/>
    </row>
    <row r="59" spans="1:26" ht="15.6" customHeight="1">
      <c r="A59" s="604"/>
      <c r="B59" s="588" t="s">
        <v>47</v>
      </c>
      <c r="C59" s="586">
        <f>'ｼｰﾄNO.3（表-3）59頁'!$F$30</f>
        <v>9</v>
      </c>
      <c r="D59" s="216" t="s">
        <v>65</v>
      </c>
      <c r="E59" s="342">
        <f>'ｼｰﾄNO.4（表-4）60頁'!G64</f>
        <v>38.949999999999996</v>
      </c>
      <c r="F59" s="590">
        <f>'ｼｰﾄNO.4（表-4）60頁'!C64/1000</f>
        <v>0.82399999999999995</v>
      </c>
      <c r="G59" s="590">
        <f>'ｼｰﾄNO.4（表-4）60頁'!C64/1000/('ｼｰﾄNO.4（表-4）60頁'!D64/3600)</f>
        <v>21.495652173913044</v>
      </c>
      <c r="H59" s="219">
        <f>-2.71095565/G59-0.09453616*G59+0.00089493*G59^2+3.15403637</f>
        <v>1.4093175888998382</v>
      </c>
      <c r="I59" s="592">
        <v>10000</v>
      </c>
      <c r="J59" s="343">
        <f t="shared" ref="J59" si="322">C59*E59*F59*H59/1000000*I59</f>
        <v>4.0708589537000268</v>
      </c>
      <c r="K59" s="219">
        <f t="shared" ref="K59" si="323">1501.20185/G59-2.40935*G59+0.02115*G59^2+174.47635</f>
        <v>202.29589890885134</v>
      </c>
      <c r="L59" s="592">
        <v>2891</v>
      </c>
      <c r="M59" s="343">
        <f t="shared" ref="M59" si="324">C59*E59*F59*K59/1000000*L59</f>
        <v>168.93216710570454</v>
      </c>
      <c r="N59" s="219">
        <f>-0.25063622/G59-0.00657231*G59+0.00005332*G59^2+0.29056757</f>
        <v>0.16226882623412497</v>
      </c>
      <c r="O59" s="592">
        <v>840100</v>
      </c>
      <c r="P59" s="343">
        <f t="shared" ref="P59" si="325">C59*E59*F59*N59/1000000*O59</f>
        <v>39.377057750067387</v>
      </c>
      <c r="Q59" s="219">
        <f>0.093055673/G59-0.0002682273*G59+0.00000218*G59^2+0.0173678037</f>
        <v>1.693842670793911E-2</v>
      </c>
      <c r="R59" s="592">
        <v>482200</v>
      </c>
      <c r="S59" s="343">
        <f t="shared" ref="S59" si="326">C59*E59*F59*Q59/1000000*R59</f>
        <v>2.3592689848923825</v>
      </c>
      <c r="T59" s="219">
        <f t="shared" ref="T59" si="327">0.630901162/G59-0.001006579*G59+0.000008915*G59^2+0.0072170055</f>
        <v>1.9049401048235663E-2</v>
      </c>
      <c r="U59" s="592">
        <v>160</v>
      </c>
      <c r="V59" s="343">
        <f t="shared" ref="V59" si="328">C59*E59*F59*T59*U59</f>
        <v>880.39687213859588</v>
      </c>
      <c r="W59" s="598"/>
      <c r="X59" s="598"/>
      <c r="Y59" s="598"/>
      <c r="Z59" s="608"/>
    </row>
    <row r="60" spans="1:26" ht="15.6" customHeight="1">
      <c r="A60" s="604"/>
      <c r="B60" s="589"/>
      <c r="C60" s="587"/>
      <c r="D60" s="217" t="s">
        <v>66</v>
      </c>
      <c r="E60" s="344">
        <f>'ｼｰﾄNO.4（表-4）60頁'!G65</f>
        <v>2.0500000000000003</v>
      </c>
      <c r="F60" s="591"/>
      <c r="G60" s="591"/>
      <c r="H60" s="218">
        <f>12.28697452/G59-0.05907844*G59+0.00051753*G59^2+2.69979197</f>
        <v>2.2405966485023963</v>
      </c>
      <c r="I60" s="593"/>
      <c r="J60" s="345">
        <f t="shared" ref="J60" si="329">C59*E60*F59*H60/1000000*I59</f>
        <v>0.3406334272785223</v>
      </c>
      <c r="K60" s="218">
        <f t="shared" ref="K60" si="330">908.52069/G59-23.49889*G59+0.18396*G59^2+1364.81344</f>
        <v>986.95591840437248</v>
      </c>
      <c r="L60" s="593"/>
      <c r="M60" s="345">
        <f t="shared" ref="M60" si="331">C59*E60*F59*K60/1000000*L59</f>
        <v>43.377990524395329</v>
      </c>
      <c r="N60" s="218">
        <f>9.45345681/G59-0.14325844*G59+0.00124097*G59^2+5.98054622</f>
        <v>3.9143036220954515</v>
      </c>
      <c r="O60" s="593"/>
      <c r="P60" s="345">
        <f t="shared" ref="P60" si="332">C59*E60*F59*N60/1000000*O59</f>
        <v>49.992985926544499</v>
      </c>
      <c r="Q60" s="218">
        <f>0.6037810576/G59-0.0052863845*G59+0.000423961*G59^2+0.3189943526</f>
        <v>0.429345308195341</v>
      </c>
      <c r="R60" s="593"/>
      <c r="S60" s="345">
        <f t="shared" ref="S60" si="333">C59*E60*F59*Q60/1000000*R59</f>
        <v>3.1474403605605734</v>
      </c>
      <c r="T60" s="218">
        <f t="shared" ref="T60" si="334">0.2877659/G59-0.008903887*G59+0.000069093*G59^2+0.516185391</f>
        <v>0.37010302389931682</v>
      </c>
      <c r="U60" s="593"/>
      <c r="V60" s="345">
        <f t="shared" ref="V60" si="335">C59*E60*F59*T60*U59</f>
        <v>900.25636027784549</v>
      </c>
      <c r="W60" s="598"/>
      <c r="X60" s="598"/>
      <c r="Y60" s="598"/>
      <c r="Z60" s="608"/>
    </row>
    <row r="61" spans="1:26" ht="15.6" customHeight="1">
      <c r="A61" s="604"/>
      <c r="B61" s="588" t="s">
        <v>48</v>
      </c>
      <c r="C61" s="586">
        <f>'ｼｰﾄNO.3（表-3）59頁'!$F$30</f>
        <v>9</v>
      </c>
      <c r="D61" s="216" t="s">
        <v>65</v>
      </c>
      <c r="E61" s="342">
        <f>'ｼｰﾄNO.4（表-4）60頁'!G66</f>
        <v>755.25</v>
      </c>
      <c r="F61" s="590">
        <f>'ｼｰﾄNO.4（表-4）60頁'!C66/1000</f>
        <v>1.054</v>
      </c>
      <c r="G61" s="590">
        <f>'ｼｰﾄNO.4（表-4）60頁'!C66/1000/('ｼｰﾄNO.4（表-4）60頁'!D66/3600)</f>
        <v>28.529323308270676</v>
      </c>
      <c r="H61" s="219">
        <f>-2.71095565/G61-0.09453616*G61+0.00089493*G61^2+3.15403637</f>
        <v>1.0903636882647412</v>
      </c>
      <c r="I61" s="592">
        <v>10000</v>
      </c>
      <c r="J61" s="343">
        <f t="shared" ref="J61" si="336">C61*E61*F61*H61/1000000*I61</f>
        <v>78.116942073806186</v>
      </c>
      <c r="K61" s="219">
        <f t="shared" ref="K61" si="337">1501.20185/G61-2.40935*G61+0.02115*G61^2+174.47635</f>
        <v>175.57329072505902</v>
      </c>
      <c r="L61" s="592">
        <v>2891</v>
      </c>
      <c r="M61" s="343">
        <f t="shared" ref="M61" si="338">C61*E61*F61*K61/1000000*L61</f>
        <v>3636.4732313833683</v>
      </c>
      <c r="N61" s="219">
        <f>-0.25063622/G61-0.00657231*G61+0.00005332*G61^2+0.29056757</f>
        <v>0.13767713521514519</v>
      </c>
      <c r="O61" s="592">
        <v>840100</v>
      </c>
      <c r="P61" s="343">
        <f t="shared" ref="P61" si="339">C61*E61*F61*N61/1000000*O61</f>
        <v>828.6414613741905</v>
      </c>
      <c r="Q61" s="219">
        <f>0.093055673/G61-0.0002682273*G61+0.00000218*G61^2+0.0173678037</f>
        <v>1.4751566279329546E-2</v>
      </c>
      <c r="R61" s="592">
        <v>482200</v>
      </c>
      <c r="S61" s="343">
        <f t="shared" ref="S61" si="340">C61*E61*F61*Q61/1000000*R61</f>
        <v>50.961147113257219</v>
      </c>
      <c r="T61" s="219">
        <f t="shared" ref="T61" si="341">0.630901162/G61-0.001006579*G61+0.000008915*G61^2+0.0072170055</f>
        <v>7.8702348891022851E-3</v>
      </c>
      <c r="U61" s="592">
        <v>160</v>
      </c>
      <c r="V61" s="343">
        <f t="shared" ref="V61" si="342">C61*E61*F61*T61*U61</f>
        <v>9021.5576994156545</v>
      </c>
      <c r="W61" s="598"/>
      <c r="X61" s="598"/>
      <c r="Y61" s="598"/>
      <c r="Z61" s="608"/>
    </row>
    <row r="62" spans="1:26" ht="15.6" customHeight="1">
      <c r="A62" s="604"/>
      <c r="B62" s="589"/>
      <c r="C62" s="587"/>
      <c r="D62" s="217" t="s">
        <v>66</v>
      </c>
      <c r="E62" s="344">
        <f>'ｼｰﾄNO.4（表-4）60頁'!G67</f>
        <v>39.75</v>
      </c>
      <c r="F62" s="591"/>
      <c r="G62" s="591"/>
      <c r="H62" s="218">
        <f>12.28697452/G61-0.05907844*G61+0.00051753*G61^2+2.69979197</f>
        <v>1.8662320493584521</v>
      </c>
      <c r="I62" s="593"/>
      <c r="J62" s="345">
        <f t="shared" ref="J62" si="343">C61*E62*F61*H62/1000000*I61</f>
        <v>7.0369731950351753</v>
      </c>
      <c r="K62" s="218">
        <f t="shared" ref="K62" si="344">908.52069/G61-23.49889*G61+0.18396*G61^2+1364.81344</f>
        <v>875.98030783410718</v>
      </c>
      <c r="L62" s="593"/>
      <c r="M62" s="345">
        <f t="shared" ref="M62" si="345">C61*E62*F61*K62/1000000*L61</f>
        <v>954.91054281683989</v>
      </c>
      <c r="N62" s="218">
        <f>9.45345681/G61-0.14325844*G61+0.00124097*G61^2+5.98054622</f>
        <v>3.2348923182010179</v>
      </c>
      <c r="O62" s="593"/>
      <c r="P62" s="345">
        <f t="shared" ref="P62" si="346">C61*E62*F61*N62/1000000*O61</f>
        <v>1024.7338126312961</v>
      </c>
      <c r="Q62" s="218">
        <f>0.6037810576/G61-0.0052863845*G61+0.000423961*G61^2+0.3189943526</f>
        <v>0.53441221276099871</v>
      </c>
      <c r="R62" s="593"/>
      <c r="S62" s="345">
        <f t="shared" ref="S62" si="347">C61*E62*F61*Q62/1000000*R61</f>
        <v>97.168127519970341</v>
      </c>
      <c r="T62" s="218">
        <f t="shared" ref="T62" si="348">0.2877659/G61-0.008903887*G61+0.000069093*G61^2+0.516185391</f>
        <v>0.32848652381892585</v>
      </c>
      <c r="U62" s="593"/>
      <c r="V62" s="345">
        <f t="shared" ref="V62" si="349">C61*E62*F61*T62*U61</f>
        <v>19817.907329058664</v>
      </c>
      <c r="W62" s="598"/>
      <c r="X62" s="598"/>
      <c r="Y62" s="598"/>
      <c r="Z62" s="608"/>
    </row>
    <row r="63" spans="1:26" ht="15.6" customHeight="1">
      <c r="A63" s="604"/>
      <c r="B63" s="588" t="s">
        <v>49</v>
      </c>
      <c r="C63" s="586">
        <f>'ｼｰﾄNO.3（表-3）59頁'!$F$30</f>
        <v>9</v>
      </c>
      <c r="D63" s="216" t="s">
        <v>65</v>
      </c>
      <c r="E63" s="342">
        <f>'ｼｰﾄNO.4（表-4）60頁'!G68</f>
        <v>38.949999999999996</v>
      </c>
      <c r="F63" s="590">
        <f>'ｼｰﾄNO.4（表-4）60頁'!C68/1000</f>
        <v>0.84799999999999998</v>
      </c>
      <c r="G63" s="590">
        <f>'ｼｰﾄNO.4（表-4）60頁'!C68/1000/('ｼｰﾄNO.4（表-4）60頁'!D68/3600)</f>
        <v>22.953383458646616</v>
      </c>
      <c r="H63" s="219">
        <f>-2.71095565/G63-0.09453616*G63+0.00089493*G63^2+3.15403637</f>
        <v>1.3375054836994751</v>
      </c>
      <c r="I63" s="592">
        <v>10000</v>
      </c>
      <c r="J63" s="343">
        <f t="shared" ref="J63" si="350">C63*E63*F63*H63/1000000*I63</f>
        <v>3.9759544011960162</v>
      </c>
      <c r="K63" s="219">
        <f t="shared" ref="K63" si="351">1501.20185/G63-2.40935*G63+0.02115*G63^2+174.47635</f>
        <v>195.71886153158169</v>
      </c>
      <c r="L63" s="592">
        <v>2891</v>
      </c>
      <c r="M63" s="343">
        <f t="shared" ref="M63" si="352">C63*E63*F63*K63/1000000*L63</f>
        <v>168.20023422839981</v>
      </c>
      <c r="N63" s="219">
        <f>-0.25063622/G63-0.00657231*G63+0.00005332*G63^2+0.29056757</f>
        <v>0.15688351852819593</v>
      </c>
      <c r="O63" s="592">
        <v>840100</v>
      </c>
      <c r="P63" s="343">
        <f t="shared" ref="P63" si="353">C63*E63*F63*N63/1000000*O63</f>
        <v>39.179070588533705</v>
      </c>
      <c r="Q63" s="219">
        <f>0.093055673/G63-0.0002682273*G63+0.00000218*G63^2+0.0173678037</f>
        <v>1.6413745392387758E-2</v>
      </c>
      <c r="R63" s="592">
        <v>482200</v>
      </c>
      <c r="S63" s="343">
        <f t="shared" ref="S63" si="354">C63*E63*F63*Q63/1000000*R63</f>
        <v>2.3527767625968998</v>
      </c>
      <c r="T63" s="219">
        <f t="shared" ref="T63" si="355">0.630901162/G63-0.001006579*G63+0.000008915*G63^2+0.0072170055</f>
        <v>1.6295743619608418E-2</v>
      </c>
      <c r="U63" s="592">
        <v>160</v>
      </c>
      <c r="V63" s="343">
        <f t="shared" ref="V63" si="356">C63*E63*F63*T63*U63</f>
        <v>775.06832657983409</v>
      </c>
      <c r="W63" s="598"/>
      <c r="X63" s="598"/>
      <c r="Y63" s="598"/>
      <c r="Z63" s="608"/>
    </row>
    <row r="64" spans="1:26" ht="15.6" customHeight="1">
      <c r="A64" s="604"/>
      <c r="B64" s="589"/>
      <c r="C64" s="587"/>
      <c r="D64" s="217" t="s">
        <v>66</v>
      </c>
      <c r="E64" s="344">
        <f>'ｼｰﾄNO.4（表-4）60頁'!G69</f>
        <v>2.0500000000000003</v>
      </c>
      <c r="F64" s="591"/>
      <c r="G64" s="591"/>
      <c r="H64" s="218">
        <f>12.28697452/G63-0.05907844*G63+0.00051753*G63^2+2.69979197</f>
        <v>2.1517078414008948</v>
      </c>
      <c r="I64" s="593"/>
      <c r="J64" s="345">
        <f t="shared" ref="J64" si="357">C63*E64*F63*H64/1000000*I63</f>
        <v>0.3366476020342184</v>
      </c>
      <c r="K64" s="218">
        <f t="shared" ref="K64" si="358">908.52069/G63-23.49889*G63+0.18396*G63^2+1364.81344</f>
        <v>961.93629293791844</v>
      </c>
      <c r="L64" s="593"/>
      <c r="M64" s="345">
        <f t="shared" ref="M64" si="359">C63*E64*F63*K64/1000000*L63</f>
        <v>43.509753713706438</v>
      </c>
      <c r="N64" s="218">
        <f>9.45345681/G63-0.14325844*G63+0.00124097*G63^2+5.98054622</f>
        <v>3.7579496629585218</v>
      </c>
      <c r="O64" s="593"/>
      <c r="P64" s="345">
        <f t="shared" ref="P64" si="360">C63*E64*F63*N64/1000000*O63</f>
        <v>49.393996425023118</v>
      </c>
      <c r="Q64" s="218">
        <f>0.6037810576/G63-0.0052863845*G63+0.000423961*G63^2+0.3189943526</f>
        <v>0.44732577176632693</v>
      </c>
      <c r="R64" s="593"/>
      <c r="S64" s="345">
        <f t="shared" ref="S64" si="361">C63*E64*F63*Q64/1000000*R63</f>
        <v>3.3747635416871216</v>
      </c>
      <c r="T64" s="218">
        <f t="shared" ref="T64" si="362">0.2877659/G63-0.008903887*G63+0.000069093*G63^2+0.516185391</f>
        <v>0.36075021611404623</v>
      </c>
      <c r="U64" s="593"/>
      <c r="V64" s="345">
        <f t="shared" ref="V64" si="363">C63*E64*F63*T64*U63</f>
        <v>903.0645729974276</v>
      </c>
      <c r="W64" s="598"/>
      <c r="X64" s="598"/>
      <c r="Y64" s="598"/>
      <c r="Z64" s="608"/>
    </row>
    <row r="65" spans="1:26" ht="15.6" customHeight="1">
      <c r="A65" s="604"/>
      <c r="B65" s="588" t="s">
        <v>50</v>
      </c>
      <c r="C65" s="586">
        <f>'ｼｰﾄNO.3（表-3）59頁'!$F$30</f>
        <v>9</v>
      </c>
      <c r="D65" s="216" t="s">
        <v>65</v>
      </c>
      <c r="E65" s="342">
        <f>'ｼｰﾄNO.4（表-4）60頁'!G70</f>
        <v>144.4</v>
      </c>
      <c r="F65" s="590">
        <f>'ｼｰﾄNO.4（表-4）60頁'!C70/1000</f>
        <v>0.91</v>
      </c>
      <c r="G65" s="590">
        <f>'ｼｰﾄNO.4（表-4）60頁'!C70/1000/('ｼｰﾄNO.4（表-4）60頁'!D70/3600)</f>
        <v>27.3</v>
      </c>
      <c r="H65" s="219">
        <f>-2.71095565/G65-0.09453616*G65+0.00089493*G65^2+3.15403637</f>
        <v>1.1408791769380953</v>
      </c>
      <c r="I65" s="592">
        <v>10000</v>
      </c>
      <c r="J65" s="343">
        <f t="shared" ref="J65" si="364">C65*E65*F65*H65/1000000*I65</f>
        <v>13.492447862973615</v>
      </c>
      <c r="K65" s="219">
        <f t="shared" ref="K65" si="365">1501.20185/G65-2.40935*G65+0.02115*G65^2+174.47635</f>
        <v>179.45305725457874</v>
      </c>
      <c r="L65" s="592">
        <v>2891</v>
      </c>
      <c r="M65" s="343">
        <f t="shared" ref="M65" si="366">C65*E65*F65*K65/1000000*L65</f>
        <v>613.55012406367155</v>
      </c>
      <c r="N65" s="219">
        <f>-0.25063622/G65-0.00657231*G65+0.00005332*G65^2+0.29056757</f>
        <v>0.14170155588058608</v>
      </c>
      <c r="O65" s="592">
        <v>840100</v>
      </c>
      <c r="P65" s="343">
        <f t="shared" ref="P65" si="367">C65*E65*F65*N65/1000000*O65</f>
        <v>140.78510157805403</v>
      </c>
      <c r="Q65" s="219">
        <f>0.093055673/G65-0.0002682273*G65+0.00000218*G65^2+0.0173678037</f>
        <v>1.5078563320622712E-2</v>
      </c>
      <c r="R65" s="592">
        <v>482200</v>
      </c>
      <c r="S65" s="343">
        <f t="shared" ref="S65" si="368">C65*E65*F65*Q65/1000000*R65</f>
        <v>8.5988082633837681</v>
      </c>
      <c r="T65" s="219">
        <f t="shared" ref="T65" si="369">0.630901162/G65-0.001006579*G65+0.000008915*G65^2+0.0072170055</f>
        <v>9.4915918239926733E-3</v>
      </c>
      <c r="U65" s="592">
        <v>160</v>
      </c>
      <c r="V65" s="343">
        <f t="shared" ref="V65" si="370">C65*E65*F65*T65*U65</f>
        <v>1796.0157101375044</v>
      </c>
      <c r="W65" s="598"/>
      <c r="X65" s="598"/>
      <c r="Y65" s="598"/>
      <c r="Z65" s="608"/>
    </row>
    <row r="66" spans="1:26" ht="15.6" customHeight="1">
      <c r="A66" s="604"/>
      <c r="B66" s="589"/>
      <c r="C66" s="587"/>
      <c r="D66" s="217" t="s">
        <v>66</v>
      </c>
      <c r="E66" s="344">
        <f>'ｼｰﾄNO.4（表-4）60頁'!G71</f>
        <v>7.6000000000000005</v>
      </c>
      <c r="F66" s="591"/>
      <c r="G66" s="591"/>
      <c r="H66" s="218">
        <f>12.28697452/G65-0.05907844*G65+0.00051753*G65^2+2.69979197</f>
        <v>1.9227328184399268</v>
      </c>
      <c r="I66" s="593"/>
      <c r="J66" s="345">
        <f t="shared" ref="J66" si="371">C65*E66*F65*H66/1000000*I65</f>
        <v>1.1967858155097482</v>
      </c>
      <c r="K66" s="218">
        <f t="shared" ref="K66" si="372">908.52069/G65-23.49889*G65+0.18396*G65^2+1364.81344</f>
        <v>893.67643755384609</v>
      </c>
      <c r="L66" s="593"/>
      <c r="M66" s="345">
        <f t="shared" ref="M66" si="373">C65*E66*F65*K66/1000000*L65</f>
        <v>160.81475495378274</v>
      </c>
      <c r="N66" s="218">
        <f>9.45345681/G65-0.14325844*G65+0.00124097*G65^2+5.98054622</f>
        <v>3.3407538085307693</v>
      </c>
      <c r="O66" s="593"/>
      <c r="P66" s="345">
        <f t="shared" ref="P66" si="374">C65*E66*F65*N66/1000000*O65</f>
        <v>174.69197343688478</v>
      </c>
      <c r="Q66" s="218">
        <f>0.6037810576/G65-0.0052863845*G65+0.000423961*G65^2+0.3189943526</f>
        <v>0.51276647169641021</v>
      </c>
      <c r="R66" s="593"/>
      <c r="S66" s="345">
        <f t="shared" ref="S66" si="375">C65*E66*F65*Q66/1000000*R65</f>
        <v>15.39020200663165</v>
      </c>
      <c r="T66" s="218">
        <f t="shared" ref="T66" si="376">0.2877659/G65-0.008903887*G65+0.000069093*G65^2+0.516185391</f>
        <v>0.33514447332787556</v>
      </c>
      <c r="U66" s="593"/>
      <c r="V66" s="345">
        <f t="shared" ref="V66" si="377">C65*E66*F65*T66*U65</f>
        <v>3337.7172156512461</v>
      </c>
      <c r="W66" s="598"/>
      <c r="X66" s="598"/>
      <c r="Y66" s="598"/>
      <c r="Z66" s="608"/>
    </row>
    <row r="67" spans="1:26" ht="15.6" customHeight="1">
      <c r="A67" s="604"/>
      <c r="B67" s="588" t="s">
        <v>51</v>
      </c>
      <c r="C67" s="586">
        <f>'ｼｰﾄNO.3（表-3）59頁'!$F$30</f>
        <v>9</v>
      </c>
      <c r="D67" s="216" t="s">
        <v>65</v>
      </c>
      <c r="E67" s="342">
        <f>'ｼｰﾄNO.4（表-4）60頁'!G72</f>
        <v>44.65</v>
      </c>
      <c r="F67" s="590">
        <f>'ｼｰﾄNO.4（表-4）60頁'!C72/1000</f>
        <v>0.76100000000000001</v>
      </c>
      <c r="G67" s="590">
        <f>'ｼｰﾄNO.4（表-4）60頁'!C72/1000/('ｼｰﾄNO.4（表-4）60頁'!D72/3600)</f>
        <v>21.916799999999999</v>
      </c>
      <c r="H67" s="219">
        <f>-2.71095565/G67-0.09453616*G67+0.00089493*G67^2+3.15403637</f>
        <v>1.3882893722770886</v>
      </c>
      <c r="I67" s="592">
        <v>10000</v>
      </c>
      <c r="J67" s="343">
        <f t="shared" ref="J67" si="378">C67*E67*F67*H67/1000000*I67</f>
        <v>4.2454978811390598</v>
      </c>
      <c r="K67" s="219">
        <f t="shared" ref="K67" si="379">1501.20185/G67-2.40935*G67+0.02115*G67^2+174.47635</f>
        <v>200.32591360394514</v>
      </c>
      <c r="L67" s="592">
        <v>2891</v>
      </c>
      <c r="M67" s="343">
        <f t="shared" ref="M67" si="380">C67*E67*F67*K67/1000000*L67</f>
        <v>177.10623598922723</v>
      </c>
      <c r="N67" s="219">
        <f>-0.25063622/G67-0.00657231*G67+0.00005332*G67^2+0.29056757</f>
        <v>0.16069981784537193</v>
      </c>
      <c r="O67" s="592">
        <v>840100</v>
      </c>
      <c r="P67" s="343">
        <f t="shared" ref="P67" si="381">C67*E67*F67*N67/1000000*O67</f>
        <v>41.28525759075432</v>
      </c>
      <c r="Q67" s="219">
        <f>0.093055673/G67-0.0002682273*G67+0.00000218*G67^2+0.0173678037</f>
        <v>1.6782134548046151E-2</v>
      </c>
      <c r="R67" s="592">
        <v>482200</v>
      </c>
      <c r="S67" s="343">
        <f t="shared" ref="S67" si="382">C67*E67*F67*Q67/1000000*R67</f>
        <v>2.4747027112493902</v>
      </c>
      <c r="T67" s="219">
        <f t="shared" ref="T67" si="383">0.630901162/G67-0.001006579*G67+0.000008915*G67^2+0.0072170055</f>
        <v>1.8224490233544929E-2</v>
      </c>
      <c r="U67" s="592">
        <v>160</v>
      </c>
      <c r="V67" s="343">
        <f t="shared" ref="V67" si="384">C67*E67*F67*T67*U67</f>
        <v>891.71074810661946</v>
      </c>
      <c r="W67" s="598"/>
      <c r="X67" s="598"/>
      <c r="Y67" s="598"/>
      <c r="Z67" s="608"/>
    </row>
    <row r="68" spans="1:26" ht="15.6" customHeight="1">
      <c r="A68" s="604"/>
      <c r="B68" s="589"/>
      <c r="C68" s="587"/>
      <c r="D68" s="217" t="s">
        <v>66</v>
      </c>
      <c r="E68" s="344">
        <f>'ｼｰﾄNO.4（表-4）60頁'!G73</f>
        <v>2.35</v>
      </c>
      <c r="F68" s="591"/>
      <c r="G68" s="591"/>
      <c r="H68" s="218">
        <f>12.28697452/G67-0.05907844*G67+0.00051753*G67^2+2.69979197</f>
        <v>2.2141941457999113</v>
      </c>
      <c r="I68" s="593"/>
      <c r="J68" s="345">
        <f t="shared" ref="J68" si="385">C67*E68*F67*H68/1000000*I67</f>
        <v>0.35637786905771446</v>
      </c>
      <c r="K68" s="218">
        <f t="shared" ref="K68" si="386">908.52069/G67-23.49889*G67+0.18396*G67^2+1364.81344</f>
        <v>979.61060362203341</v>
      </c>
      <c r="L68" s="593"/>
      <c r="M68" s="345">
        <f t="shared" ref="M68" si="387">C67*E68*F67*K68/1000000*L67</f>
        <v>45.582338043510809</v>
      </c>
      <c r="N68" s="218">
        <f>9.45345681/G67-0.14325844*G67+0.00124097*G67^2+5.98054622</f>
        <v>3.8682085778356057</v>
      </c>
      <c r="O68" s="593"/>
      <c r="P68" s="345">
        <f t="shared" ref="P68" si="388">C67*E68*F67*N68/1000000*O67</f>
        <v>52.304119664631784</v>
      </c>
      <c r="Q68" s="218">
        <f>0.6037810576/G67-0.0052863845*G67+0.000423961*G67^2+0.3189943526</f>
        <v>0.43433052111818043</v>
      </c>
      <c r="R68" s="593"/>
      <c r="S68" s="345">
        <f t="shared" ref="S68" si="389">C67*E68*F67*Q68/1000000*R67</f>
        <v>3.370874498499481</v>
      </c>
      <c r="T68" s="218">
        <f t="shared" ref="T68" si="390">0.2877659/G67-0.008903887*G67+0.000069093*G67^2+0.516185391</f>
        <v>0.36735915818629394</v>
      </c>
      <c r="U68" s="593"/>
      <c r="V68" s="345">
        <f t="shared" ref="V68" si="391">C67*E68*F67*T68*U67</f>
        <v>946.03212078114075</v>
      </c>
      <c r="W68" s="598"/>
      <c r="X68" s="598"/>
      <c r="Y68" s="598"/>
      <c r="Z68" s="608"/>
    </row>
    <row r="69" spans="1:26" ht="15.6" customHeight="1">
      <c r="A69" s="604"/>
      <c r="B69" s="588" t="s">
        <v>52</v>
      </c>
      <c r="C69" s="586">
        <f>'ｼｰﾄNO.3（表-3）59頁'!$F$30</f>
        <v>9</v>
      </c>
      <c r="D69" s="216" t="s">
        <v>65</v>
      </c>
      <c r="E69" s="342">
        <f>'ｼｰﾄNO.4（表-4）60頁'!G74</f>
        <v>158.65</v>
      </c>
      <c r="F69" s="590">
        <f>'ｼｰﾄNO.4（表-4）60頁'!C74/1000</f>
        <v>0.84799999999999998</v>
      </c>
      <c r="G69" s="590">
        <f>'ｼｰﾄNO.4（表-4）60頁'!C74/1000/('ｼｰﾄNO.4（表-4）60頁'!D74/3600)</f>
        <v>28.530841121495325</v>
      </c>
      <c r="H69" s="219">
        <f>-2.71095565/G69-0.09453616*G69+0.00089493*G69^2+3.15403637</f>
        <v>1.0903027620976071</v>
      </c>
      <c r="I69" s="592">
        <v>10000</v>
      </c>
      <c r="J69" s="343">
        <f t="shared" ref="J69" si="392">C69*E69*F69*H69/1000000*I69</f>
        <v>13.20156901434186</v>
      </c>
      <c r="K69" s="219">
        <f t="shared" ref="K69" si="393">1501.20185/G69-2.40935*G69+0.02115*G69^2+174.47635</f>
        <v>175.56866620042143</v>
      </c>
      <c r="L69" s="592">
        <v>2891</v>
      </c>
      <c r="M69" s="343">
        <f t="shared" ref="M69" si="394">C69*E69*F69*K69/1000000*L69</f>
        <v>614.57308929297949</v>
      </c>
      <c r="N69" s="219">
        <f>-0.25063622/G69-0.00657231*G69+0.00005332*G69^2+0.29056757</f>
        <v>0.13767224490879842</v>
      </c>
      <c r="O69" s="592">
        <v>840100</v>
      </c>
      <c r="P69" s="343">
        <f t="shared" ref="P69" si="395">C69*E69*F69*N69/1000000*O69</f>
        <v>140.04119789130451</v>
      </c>
      <c r="Q69" s="219">
        <f>0.093055673/G69-0.0002682273*G69+0.00000218*G69^2+0.0173678037</f>
        <v>1.4751174440693522E-2</v>
      </c>
      <c r="R69" s="592">
        <v>482200</v>
      </c>
      <c r="S69" s="343">
        <f t="shared" ref="S69" si="396">C69*E69*F69*Q69/1000000*R69</f>
        <v>8.6125596532422648</v>
      </c>
      <c r="T69" s="219">
        <f t="shared" ref="T69" si="397">0.630901162/G69-0.001006579*G69+0.000008915*G69^2+0.0072170055</f>
        <v>7.8683027382883859E-3</v>
      </c>
      <c r="U69" s="592">
        <v>160</v>
      </c>
      <c r="V69" s="343">
        <f t="shared" ref="V69" si="398">C69*E69*F69*T69*U69</f>
        <v>1524.3317028808931</v>
      </c>
      <c r="W69" s="598"/>
      <c r="X69" s="598"/>
      <c r="Y69" s="598"/>
      <c r="Z69" s="608"/>
    </row>
    <row r="70" spans="1:26" ht="15.6" customHeight="1">
      <c r="A70" s="604"/>
      <c r="B70" s="589"/>
      <c r="C70" s="587"/>
      <c r="D70" s="217" t="s">
        <v>66</v>
      </c>
      <c r="E70" s="344">
        <f>'ｼｰﾄNO.4（表-4）60頁'!G75</f>
        <v>8.35</v>
      </c>
      <c r="F70" s="591"/>
      <c r="G70" s="591"/>
      <c r="H70" s="218">
        <f>12.28697452/G69-0.05907844*G69+0.00051753*G69^2+2.69979197</f>
        <v>1.8661642891756698</v>
      </c>
      <c r="I70" s="593"/>
      <c r="J70" s="345">
        <f t="shared" ref="J70" si="399">C69*E70*F69*H70/1000000*I69</f>
        <v>1.1892542488915572</v>
      </c>
      <c r="K70" s="218">
        <f t="shared" ref="K70" si="400">908.52069/G69-23.49889*G69+0.18396*G69^2+1364.81344</f>
        <v>875.95887894004875</v>
      </c>
      <c r="L70" s="593"/>
      <c r="M70" s="345">
        <f t="shared" ref="M70" si="401">C69*E70*F69*K70/1000000*L69</f>
        <v>161.3825776829361</v>
      </c>
      <c r="N70" s="218">
        <f>9.45345681/G69-0.14325844*G69+0.00124097*G69^2+5.98054622</f>
        <v>3.2347647269327133</v>
      </c>
      <c r="O70" s="593"/>
      <c r="P70" s="345">
        <f t="shared" ref="P70" si="402">C69*E70*F69*N70/1000000*O69</f>
        <v>173.18031316306718</v>
      </c>
      <c r="Q70" s="218">
        <f>0.6037810576/G69-0.0052863845*G69+0.000423961*G69^2+0.3189943526</f>
        <v>0.5344397809889011</v>
      </c>
      <c r="R70" s="593"/>
      <c r="S70" s="345">
        <f t="shared" ref="S70" si="403">C69*E70*F69*Q70/1000000*R69</f>
        <v>16.422936761081509</v>
      </c>
      <c r="T70" s="218">
        <f t="shared" ref="T70" si="404">0.2877659/G69-0.008903887*G69+0.000069093*G69^2+0.516185391</f>
        <v>0.32847845669511644</v>
      </c>
      <c r="U70" s="593"/>
      <c r="V70" s="345">
        <f t="shared" ref="V70" si="405">C69*E70*F69*T70*U69</f>
        <v>3349.2819688801633</v>
      </c>
      <c r="W70" s="598"/>
      <c r="X70" s="598"/>
      <c r="Y70" s="598"/>
      <c r="Z70" s="608"/>
    </row>
    <row r="71" spans="1:26" ht="15.6" customHeight="1">
      <c r="A71" s="604"/>
      <c r="B71" s="588" t="s">
        <v>53</v>
      </c>
      <c r="C71" s="586">
        <f>'ｼｰﾄNO.3（表-3）59頁'!$F$30</f>
        <v>9</v>
      </c>
      <c r="D71" s="216" t="s">
        <v>65</v>
      </c>
      <c r="E71" s="342">
        <f>'ｼｰﾄNO.4（表-4）60頁'!G76</f>
        <v>747.65</v>
      </c>
      <c r="F71" s="590">
        <f>'ｼｰﾄNO.4（表-4）60頁'!C76/1000</f>
        <v>0.61699999999999999</v>
      </c>
      <c r="G71" s="590">
        <f>'ｼｰﾄNO.4（表-4）60頁'!C76/1000/('ｼｰﾄNO.4（表-4）60頁'!D76/3600)</f>
        <v>26.131764705882354</v>
      </c>
      <c r="H71" s="219">
        <f>-2.71095565/G71-0.09453616*G71+0.00089493*G71^2+3.15403637</f>
        <v>1.1910179733605875</v>
      </c>
      <c r="I71" s="592">
        <v>10000</v>
      </c>
      <c r="J71" s="343">
        <f t="shared" ref="J71" si="406">C71*E71*F71*H71/1000000*I71</f>
        <v>49.447498559592383</v>
      </c>
      <c r="K71" s="219">
        <f t="shared" ref="K71" si="407">1501.20185/G71-2.40935*G71+0.02115*G71^2+174.47635</f>
        <v>183.40586129931432</v>
      </c>
      <c r="L71" s="592">
        <v>2891</v>
      </c>
      <c r="M71" s="343">
        <f t="shared" ref="M71" si="408">C71*E71*F71*K71/1000000*L71</f>
        <v>2201.3409552061012</v>
      </c>
      <c r="N71" s="219">
        <f>-0.25063622/G71-0.00657231*G71+0.00005332*G71^2+0.29056757</f>
        <v>0.14564084594972018</v>
      </c>
      <c r="O71" s="592">
        <v>840100</v>
      </c>
      <c r="P71" s="343">
        <f t="shared" ref="P71" si="409">C71*E71*F71*N71/1000000*O71</f>
        <v>507.97248487754717</v>
      </c>
      <c r="Q71" s="219">
        <f>0.093055673/G71-0.0002682273*G71+0.00000218*G71^2+0.0173678037</f>
        <v>1.5408223265116677E-2</v>
      </c>
      <c r="R71" s="592">
        <v>482200</v>
      </c>
      <c r="S71" s="343">
        <f t="shared" ref="S71" si="410">C71*E71*F71*Q71/1000000*R71</f>
        <v>30.846491902892641</v>
      </c>
      <c r="T71" s="219">
        <f t="shared" ref="T71" si="411">0.630901162/G71-0.001006579*G71+0.000008915*G71^2+0.0072170055</f>
        <v>1.114417343926544E-2</v>
      </c>
      <c r="U71" s="592">
        <v>160</v>
      </c>
      <c r="V71" s="343">
        <f t="shared" ref="V71" si="412">C71*E71*F71*T71*U71</f>
        <v>7402.7631812282189</v>
      </c>
      <c r="W71" s="598"/>
      <c r="X71" s="598"/>
      <c r="Y71" s="598"/>
      <c r="Z71" s="608"/>
    </row>
    <row r="72" spans="1:26" ht="15.6" customHeight="1">
      <c r="A72" s="604"/>
      <c r="B72" s="589"/>
      <c r="C72" s="587"/>
      <c r="D72" s="217" t="s">
        <v>66</v>
      </c>
      <c r="E72" s="344">
        <f>'ｼｰﾄNO.4（表-4）60頁'!G77</f>
        <v>39.35</v>
      </c>
      <c r="F72" s="591"/>
      <c r="G72" s="591"/>
      <c r="H72" s="218">
        <f>12.28697452/G71-0.05907844*G71+0.00051753*G71^2+2.69979197</f>
        <v>1.9795664000408051</v>
      </c>
      <c r="I72" s="593"/>
      <c r="J72" s="345">
        <f t="shared" ref="J72" si="413">C71*E72*F71*H72/1000000*I71</f>
        <v>4.325561428344364</v>
      </c>
      <c r="K72" s="218">
        <f t="shared" ref="K72" si="414">908.52069/G71-23.49889*G71+0.18396*G71^2+1364.81344</f>
        <v>911.13348937866317</v>
      </c>
      <c r="L72" s="593"/>
      <c r="M72" s="345">
        <f t="shared" ref="M72" si="415">C71*E72*F71*K72/1000000*L71</f>
        <v>575.57578115490946</v>
      </c>
      <c r="N72" s="218">
        <f>9.45345681/G71-0.14325844*G71+0.00124097*G71^2+5.98054622</f>
        <v>3.4461316069828696</v>
      </c>
      <c r="O72" s="593"/>
      <c r="P72" s="345">
        <f t="shared" ref="P72" si="416">C71*E72*F71*N72/1000000*O71</f>
        <v>632.6088363752184</v>
      </c>
      <c r="Q72" s="218">
        <f>0.6037810576/G71-0.0052863845*G71+0.000423961*G71^2+0.3189943526</f>
        <v>0.49346692837210338</v>
      </c>
      <c r="R72" s="593"/>
      <c r="S72" s="345">
        <f t="shared" ref="S72" si="417">C71*E72*F71*Q72/1000000*R71</f>
        <v>51.99453137002736</v>
      </c>
      <c r="T72" s="218">
        <f t="shared" ref="T72" si="418">0.2877659/G71-0.008903887*G71+0.000069093*G71^2+0.516185391</f>
        <v>0.34170469876159476</v>
      </c>
      <c r="U72" s="593"/>
      <c r="V72" s="345">
        <f t="shared" ref="V72" si="419">C71*E72*F71*T72*U71</f>
        <v>11946.573066236862</v>
      </c>
      <c r="W72" s="598"/>
      <c r="X72" s="598"/>
      <c r="Y72" s="598"/>
      <c r="Z72" s="608"/>
    </row>
    <row r="73" spans="1:26" ht="15.6" customHeight="1">
      <c r="A73" s="604"/>
      <c r="B73" s="588" t="s">
        <v>54</v>
      </c>
      <c r="C73" s="586">
        <f>'ｼｰﾄNO.3（表-3）59頁'!$F$30</f>
        <v>9</v>
      </c>
      <c r="D73" s="216" t="s">
        <v>65</v>
      </c>
      <c r="E73" s="342">
        <f>'ｼｰﾄNO.4（表-4）60頁'!G78</f>
        <v>133</v>
      </c>
      <c r="F73" s="590">
        <f>'ｼｰﾄNO.4（表-4）60頁'!C78/1000</f>
        <v>0.82399999999999995</v>
      </c>
      <c r="G73" s="590">
        <f>'ｼｰﾄNO.4（表-4）60頁'!C78/1000/('ｼｰﾄNO.4（表-4）60頁'!D78/3600)</f>
        <v>27.984905660377358</v>
      </c>
      <c r="H73" s="219">
        <f>-2.71095565/G73-0.09453616*G73+0.00089493*G73^2+3.15403637</f>
        <v>1.1124476388923368</v>
      </c>
      <c r="I73" s="592">
        <v>10000</v>
      </c>
      <c r="J73" s="343">
        <f t="shared" ref="J73" si="420">C73*E73*F73*H73/1000000*I73</f>
        <v>10.972382547734007</v>
      </c>
      <c r="K73" s="219">
        <f t="shared" ref="K73" si="421">1501.20185/G73-2.40935*G73+0.02115*G73^2+174.47635</f>
        <v>177.25791462067843</v>
      </c>
      <c r="L73" s="592">
        <v>2891</v>
      </c>
      <c r="M73" s="343">
        <f t="shared" ref="M73" si="422">C73*E73*F73*K73/1000000*L73</f>
        <v>505.44637879504728</v>
      </c>
      <c r="N73" s="219">
        <f>-0.25063622/G73-0.00657231*G73+0.00005332*G73^2+0.29056757</f>
        <v>0.13944379466769591</v>
      </c>
      <c r="O73" s="592">
        <v>840100</v>
      </c>
      <c r="P73" s="343">
        <f t="shared" ref="P73" si="423">C73*E73*F73*N73/1000000*O73</f>
        <v>115.54510178179001</v>
      </c>
      <c r="Q73" s="219">
        <f>0.093055673/G73-0.0002682273*G73+0.00000218*G73^2+0.0173678037</f>
        <v>1.4893975252273366E-2</v>
      </c>
      <c r="R73" s="592">
        <v>482200</v>
      </c>
      <c r="S73" s="343">
        <f t="shared" ref="S73" si="424">C73*E73*F73*Q73/1000000*R73</f>
        <v>7.0836842734694292</v>
      </c>
      <c r="T73" s="219">
        <f t="shared" ref="T73" si="425">0.630901162/G73-0.001006579*G73+0.000008915*G73^2+0.0072170055</f>
        <v>8.5741511172441748E-3</v>
      </c>
      <c r="U73" s="592">
        <v>160</v>
      </c>
      <c r="V73" s="343">
        <f t="shared" ref="V73" si="426">C73*E73*F73*T73*U73</f>
        <v>1353.1080517070741</v>
      </c>
      <c r="W73" s="598"/>
      <c r="X73" s="598"/>
      <c r="Y73" s="598"/>
      <c r="Z73" s="608"/>
    </row>
    <row r="74" spans="1:26" ht="15.6" customHeight="1">
      <c r="A74" s="604"/>
      <c r="B74" s="589"/>
      <c r="C74" s="587"/>
      <c r="D74" s="217" t="s">
        <v>66</v>
      </c>
      <c r="E74" s="344">
        <f>'ｼｰﾄNO.4（表-4）60頁'!G79</f>
        <v>7</v>
      </c>
      <c r="F74" s="591"/>
      <c r="G74" s="591"/>
      <c r="H74" s="218">
        <f>12.28697452/G73-0.05907844*G73+0.00051753*G73^2+2.69979197</f>
        <v>1.890850785723317</v>
      </c>
      <c r="I74" s="593"/>
      <c r="J74" s="345">
        <f t="shared" ref="J74" si="427">C73*E74*F73*H74/1000000*I73</f>
        <v>0.98157845988468839</v>
      </c>
      <c r="K74" s="218">
        <f t="shared" ref="K74" si="428">908.52069/G73-23.49889*G73+0.18396*G73^2+1364.81344</f>
        <v>883.73307254463668</v>
      </c>
      <c r="L74" s="593"/>
      <c r="M74" s="345">
        <f t="shared" ref="M74" si="429">C73*E74*F73*K74/1000000*L73</f>
        <v>132.62853149826037</v>
      </c>
      <c r="N74" s="218">
        <f>9.45345681/G73-0.14325844*G73+0.00124097*G73^2+5.98054622</f>
        <v>3.2811496463454768</v>
      </c>
      <c r="O74" s="593"/>
      <c r="P74" s="345">
        <f t="shared" ref="P74" si="430">C73*E74*F73*N74/1000000*O73</f>
        <v>143.09510707455669</v>
      </c>
      <c r="Q74" s="218">
        <f>0.6037810576/G73-0.0052863845*G73+0.000423961*G73^2+0.3189943526</f>
        <v>0.52465777470111807</v>
      </c>
      <c r="R74" s="593"/>
      <c r="S74" s="345">
        <f t="shared" ref="S74" si="431">C73*E74*F73*Q74/1000000*R73</f>
        <v>13.133215787817157</v>
      </c>
      <c r="T74" s="218">
        <f t="shared" ref="T74" si="432">0.2877659/G73-0.008903887*G73+0.000069093*G73^2+0.516185391</f>
        <v>0.33140437480888518</v>
      </c>
      <c r="U74" s="593"/>
      <c r="V74" s="345">
        <f t="shared" ref="V74" si="433">C73*E74*F73*T74*U73</f>
        <v>2752.6182248126156</v>
      </c>
      <c r="W74" s="598"/>
      <c r="X74" s="598"/>
      <c r="Y74" s="598"/>
      <c r="Z74" s="608"/>
    </row>
    <row r="75" spans="1:26" ht="15.6" customHeight="1">
      <c r="A75" s="604"/>
      <c r="B75" s="588" t="s">
        <v>55</v>
      </c>
      <c r="C75" s="586">
        <f>'ｼｰﾄNO.3（表-3）59頁'!$F$30</f>
        <v>9</v>
      </c>
      <c r="D75" s="216" t="s">
        <v>65</v>
      </c>
      <c r="E75" s="342">
        <f>'ｼｰﾄNO.4（表-4）60頁'!G80</f>
        <v>42.75</v>
      </c>
      <c r="F75" s="590">
        <f>'ｼｰﾄNO.4（表-4）60頁'!C80/1000</f>
        <v>0.91</v>
      </c>
      <c r="G75" s="590">
        <f>'ｼｰﾄNO.4（表-4）60頁'!C80/1000/('ｼｰﾄNO.4（表-4）60頁'!D80/3600)</f>
        <v>25.395348837209301</v>
      </c>
      <c r="H75" s="219">
        <f>-2.71095565/G75-0.09453616*G75+0.00089493*G75^2+3.15403637</f>
        <v>1.2236691288831159</v>
      </c>
      <c r="I75" s="592">
        <v>10000</v>
      </c>
      <c r="J75" s="343">
        <f t="shared" ref="J75" si="434">C75*E75*F75*H75/1000000*I75</f>
        <v>4.2843409457737875</v>
      </c>
      <c r="K75" s="219">
        <f t="shared" ref="K75" si="435">1501.20185/G75-2.40935*G75+0.02115*G75^2+174.47635</f>
        <v>186.04346309546096</v>
      </c>
      <c r="L75" s="592">
        <v>2891</v>
      </c>
      <c r="M75" s="343">
        <f t="shared" ref="M75" si="436">C75*E75*F75*K75/1000000*L75</f>
        <v>188.31396496048879</v>
      </c>
      <c r="N75" s="219">
        <f>-0.25063622/G75-0.00657231*G75+0.00005332*G75^2+0.29056757</f>
        <v>0.14817942387383937</v>
      </c>
      <c r="O75" s="592">
        <v>840100</v>
      </c>
      <c r="P75" s="343">
        <f t="shared" ref="P75" si="437">C75*E75*F75*N75/1000000*O75</f>
        <v>43.585186376658918</v>
      </c>
      <c r="Q75" s="219">
        <f>0.093055673/G75-0.0002682273*G75+0.00000218*G75^2+0.0173678037</f>
        <v>1.5626291771545158E-2</v>
      </c>
      <c r="R75" s="592">
        <v>482200</v>
      </c>
      <c r="S75" s="343">
        <f t="shared" ref="S75" si="438">C75*E75*F75*Q75/1000000*R75</f>
        <v>2.6381722995254755</v>
      </c>
      <c r="T75" s="219">
        <f t="shared" ref="T75" si="439">0.630901162/G75-0.001006579*G75+0.000008915*G75^2+0.0072170055</f>
        <v>1.2247253452286853E-2</v>
      </c>
      <c r="U75" s="592">
        <v>160</v>
      </c>
      <c r="V75" s="343">
        <f t="shared" ref="V75" si="440">C75*E75*F75*T75*U75</f>
        <v>686.08623949572859</v>
      </c>
      <c r="W75" s="598"/>
      <c r="X75" s="598"/>
      <c r="Y75" s="598"/>
      <c r="Z75" s="608"/>
    </row>
    <row r="76" spans="1:26" ht="15.6" customHeight="1">
      <c r="A76" s="604"/>
      <c r="B76" s="589"/>
      <c r="C76" s="587"/>
      <c r="D76" s="217" t="s">
        <v>66</v>
      </c>
      <c r="E76" s="344">
        <f>'ｼｰﾄNO.4（表-4）60頁'!G81</f>
        <v>2.25</v>
      </c>
      <c r="F76" s="591"/>
      <c r="G76" s="591"/>
      <c r="H76" s="218">
        <f>12.28697452/G75-0.05907844*G75+0.00051753*G75^2+2.69979197</f>
        <v>2.0170695131761947</v>
      </c>
      <c r="I76" s="593"/>
      <c r="J76" s="345">
        <f t="shared" ref="J76" si="441">C75*E76*F75*H76/1000000*I75</f>
        <v>0.3716954845405433</v>
      </c>
      <c r="K76" s="218">
        <f t="shared" ref="K76" si="442">908.52069/G75-23.49889*G75+0.18396*G75^2+1364.81344</f>
        <v>922.46618496016549</v>
      </c>
      <c r="L76" s="593"/>
      <c r="M76" s="345">
        <f t="shared" ref="M76" si="443">C75*E76*F75*K76/1000000*L75</f>
        <v>49.143373597114831</v>
      </c>
      <c r="N76" s="218">
        <f>9.45345681/G75-0.14325844*G75+0.00124097*G75^2+5.98054622</f>
        <v>3.515030683557745</v>
      </c>
      <c r="O76" s="593"/>
      <c r="P76" s="345">
        <f t="shared" ref="P76" si="444">C75*E76*F75*N76/1000000*O75</f>
        <v>54.415988776650821</v>
      </c>
      <c r="Q76" s="218">
        <f>0.6037810576/G75-0.0052863845*G75+0.000423961*G75^2+0.3189943526</f>
        <v>0.48194255038150902</v>
      </c>
      <c r="R76" s="593"/>
      <c r="S76" s="345">
        <f t="shared" ref="S76" si="445">C75*E76*F75*Q76/1000000*R75</f>
        <v>4.2824164385982657</v>
      </c>
      <c r="T76" s="218">
        <f t="shared" ref="T76" si="446">0.2877659/G75-0.008903887*G75+0.000069093*G75^2+0.516185391</f>
        <v>0.34595923189006639</v>
      </c>
      <c r="U76" s="593"/>
      <c r="V76" s="345">
        <f t="shared" ref="V76" si="447">C75*E76*F75*T76*U75</f>
        <v>1020.0261993046719</v>
      </c>
      <c r="W76" s="598"/>
      <c r="X76" s="598"/>
      <c r="Y76" s="598"/>
      <c r="Z76" s="608"/>
    </row>
    <row r="77" spans="1:26" ht="15.6" customHeight="1">
      <c r="A77" s="604"/>
      <c r="B77" s="588" t="s">
        <v>56</v>
      </c>
      <c r="C77" s="586">
        <f>'ｼｰﾄNO.3（表-3）59頁'!$F$30</f>
        <v>9</v>
      </c>
      <c r="D77" s="216" t="s">
        <v>65</v>
      </c>
      <c r="E77" s="342">
        <f>'ｼｰﾄNO.4（表-4）60頁'!G82</f>
        <v>752.4</v>
      </c>
      <c r="F77" s="590">
        <f>'ｼｰﾄNO.4（表-4）60頁'!C82/1000</f>
        <v>0.61699999999999999</v>
      </c>
      <c r="G77" s="590">
        <f>'ｼｰﾄNO.4（表-4）60頁'!C82/1000/('ｼｰﾄNO.4（表-4）60頁'!D82/3600)</f>
        <v>26.76144578313253</v>
      </c>
      <c r="H77" s="219">
        <f>-2.71095565/G77-0.09453616*G77+0.00089493*G77^2+3.15403637</f>
        <v>1.1637377329352296</v>
      </c>
      <c r="I77" s="592">
        <v>10000</v>
      </c>
      <c r="J77" s="343">
        <f t="shared" ref="J77" si="448">C77*E77*F77*H77/1000000*I77</f>
        <v>48.621860887563713</v>
      </c>
      <c r="K77" s="219">
        <f t="shared" ref="K77" si="449">1501.20185/G77-2.40935*G77+0.02115*G77^2+174.47635</f>
        <v>181.24145455427808</v>
      </c>
      <c r="L77" s="592">
        <v>2891</v>
      </c>
      <c r="M77" s="343">
        <f t="shared" ref="M77" si="450">C77*E77*F77*K77/1000000*L77</f>
        <v>2189.1831209066772</v>
      </c>
      <c r="N77" s="219">
        <f>-0.25063622/G77-0.00657231*G77+0.00005332*G77^2+0.29056757</f>
        <v>0.14350393124052649</v>
      </c>
      <c r="O77" s="592">
        <v>840100</v>
      </c>
      <c r="P77" s="343">
        <f t="shared" ref="P77" si="451">C77*E77*F77*N77/1000000*O77</f>
        <v>503.69917976050823</v>
      </c>
      <c r="Q77" s="219">
        <f>0.093055673/G77-0.0002682273*G77+0.00000218*G77^2+0.0173678037</f>
        <v>1.5228143722623148E-2</v>
      </c>
      <c r="R77" s="592">
        <v>482200</v>
      </c>
      <c r="S77" s="343">
        <f t="shared" ref="S77" si="452">C77*E77*F77*Q77/1000000*R77</f>
        <v>30.679666433379943</v>
      </c>
      <c r="T77" s="219">
        <f t="shared" ref="T77" si="453">0.630901162/G77-0.001006579*G77+0.000008915*G77^2+0.0072170055</f>
        <v>1.0239199017392751E-2</v>
      </c>
      <c r="U77" s="592">
        <v>160</v>
      </c>
      <c r="V77" s="343">
        <f t="shared" ref="V77" si="454">C77*E77*F77*T77*U77</f>
        <v>6844.8262337329688</v>
      </c>
      <c r="W77" s="598"/>
      <c r="X77" s="598"/>
      <c r="Y77" s="598"/>
      <c r="Z77" s="608"/>
    </row>
    <row r="78" spans="1:26" ht="15.6" customHeight="1">
      <c r="A78" s="605"/>
      <c r="B78" s="589"/>
      <c r="C78" s="587"/>
      <c r="D78" s="217" t="s">
        <v>66</v>
      </c>
      <c r="E78" s="344">
        <f>'ｼｰﾄNO.4（表-4）60頁'!G83</f>
        <v>39.6</v>
      </c>
      <c r="F78" s="591"/>
      <c r="G78" s="591"/>
      <c r="H78" s="218">
        <f>12.28697452/G77-0.05907844*G77+0.00051753*G77^2+2.69979197</f>
        <v>1.9485392365792691</v>
      </c>
      <c r="I78" s="593"/>
      <c r="J78" s="345">
        <f t="shared" ref="J78" si="455">C77*E78*F77*H78/1000000*I77</f>
        <v>4.284814398766974</v>
      </c>
      <c r="K78" s="218">
        <f t="shared" ref="K78" si="456">908.52069/G77-23.49889*G77+0.18396*G77^2+1364.81344</f>
        <v>901.64558294529479</v>
      </c>
      <c r="L78" s="593"/>
      <c r="M78" s="345">
        <f t="shared" ref="M78" si="457">C77*E78*F77*K78/1000000*L77</f>
        <v>573.20082993798064</v>
      </c>
      <c r="N78" s="218">
        <f>9.45345681/G77-0.14325844*G77+0.00124097*G77^2+5.98054622</f>
        <v>3.3887440168377028</v>
      </c>
      <c r="O78" s="593"/>
      <c r="P78" s="345">
        <f t="shared" ref="P78" si="458">C77*E78*F77*N78/1000000*O77</f>
        <v>626.02634203450521</v>
      </c>
      <c r="Q78" s="218">
        <f>0.6037810576/G77-0.0052863845*G77+0.000423961*G77^2+0.3189943526</f>
        <v>0.50371492211906921</v>
      </c>
      <c r="R78" s="593"/>
      <c r="S78" s="345">
        <f t="shared" ref="S78" si="459">C77*E78*F77*Q78/1000000*R77</f>
        <v>53.411513194932226</v>
      </c>
      <c r="T78" s="218">
        <f t="shared" ref="T78" si="460">0.2877659/G77-0.008903887*G77+0.000069093*G77^2+0.516185391</f>
        <v>0.33814018245764677</v>
      </c>
      <c r="U78" s="593"/>
      <c r="V78" s="345">
        <f t="shared" ref="V78" si="461">C77*E78*F77*T78*U77</f>
        <v>11897.059256674813</v>
      </c>
      <c r="W78" s="599"/>
      <c r="X78" s="599"/>
      <c r="Y78" s="599"/>
      <c r="Z78" s="609"/>
    </row>
  </sheetData>
  <mergeCells count="345">
    <mergeCell ref="A3:A5"/>
    <mergeCell ref="B3:B5"/>
    <mergeCell ref="W7:W30"/>
    <mergeCell ref="W31:W54"/>
    <mergeCell ref="W55:W78"/>
    <mergeCell ref="U15:U16"/>
    <mergeCell ref="U7:U8"/>
    <mergeCell ref="U17:U18"/>
    <mergeCell ref="O75:O76"/>
    <mergeCell ref="R75:R76"/>
    <mergeCell ref="U75:U76"/>
    <mergeCell ref="R77:R78"/>
    <mergeCell ref="U77:U78"/>
    <mergeCell ref="O67:O68"/>
    <mergeCell ref="R67:R68"/>
    <mergeCell ref="U67:U68"/>
    <mergeCell ref="R69:R70"/>
    <mergeCell ref="U69:U70"/>
    <mergeCell ref="O51:O52"/>
    <mergeCell ref="R51:R52"/>
    <mergeCell ref="U51:U52"/>
    <mergeCell ref="R53:R54"/>
    <mergeCell ref="U53:U54"/>
    <mergeCell ref="O43:O44"/>
    <mergeCell ref="R43:R44"/>
    <mergeCell ref="U43:U44"/>
    <mergeCell ref="B77:B78"/>
    <mergeCell ref="C77:C78"/>
    <mergeCell ref="F77:F78"/>
    <mergeCell ref="G77:G78"/>
    <mergeCell ref="I77:I78"/>
    <mergeCell ref="L77:L78"/>
    <mergeCell ref="O77:O78"/>
    <mergeCell ref="B75:B76"/>
    <mergeCell ref="C75:C76"/>
    <mergeCell ref="F75:F76"/>
    <mergeCell ref="G75:G76"/>
    <mergeCell ref="I75:I76"/>
    <mergeCell ref="L75:L76"/>
    <mergeCell ref="L71:L72"/>
    <mergeCell ref="O71:O72"/>
    <mergeCell ref="R71:R72"/>
    <mergeCell ref="U71:U72"/>
    <mergeCell ref="B73:B74"/>
    <mergeCell ref="C73:C74"/>
    <mergeCell ref="F73:F74"/>
    <mergeCell ref="G73:G74"/>
    <mergeCell ref="I73:I74"/>
    <mergeCell ref="L73:L74"/>
    <mergeCell ref="O73:O74"/>
    <mergeCell ref="R73:R74"/>
    <mergeCell ref="U73:U74"/>
    <mergeCell ref="G69:G70"/>
    <mergeCell ref="I69:I70"/>
    <mergeCell ref="L69:L70"/>
    <mergeCell ref="O69:O70"/>
    <mergeCell ref="B67:B68"/>
    <mergeCell ref="C67:C68"/>
    <mergeCell ref="F67:F68"/>
    <mergeCell ref="G67:G68"/>
    <mergeCell ref="I67:I68"/>
    <mergeCell ref="L67:L68"/>
    <mergeCell ref="F69:F70"/>
    <mergeCell ref="L63:L64"/>
    <mergeCell ref="O63:O64"/>
    <mergeCell ref="R63:R64"/>
    <mergeCell ref="U63:U64"/>
    <mergeCell ref="B65:B66"/>
    <mergeCell ref="C65:C66"/>
    <mergeCell ref="F65:F66"/>
    <mergeCell ref="G65:G66"/>
    <mergeCell ref="I65:I66"/>
    <mergeCell ref="L65:L66"/>
    <mergeCell ref="O65:O66"/>
    <mergeCell ref="R65:R66"/>
    <mergeCell ref="U65:U66"/>
    <mergeCell ref="L55:L56"/>
    <mergeCell ref="O55:O56"/>
    <mergeCell ref="R55:R56"/>
    <mergeCell ref="U55:U56"/>
    <mergeCell ref="B57:B58"/>
    <mergeCell ref="C57:C58"/>
    <mergeCell ref="F57:F58"/>
    <mergeCell ref="G57:G58"/>
    <mergeCell ref="I57:I58"/>
    <mergeCell ref="L57:L58"/>
    <mergeCell ref="O57:O58"/>
    <mergeCell ref="R57:R58"/>
    <mergeCell ref="U57:U58"/>
    <mergeCell ref="L59:L60"/>
    <mergeCell ref="O59:O60"/>
    <mergeCell ref="R59:R60"/>
    <mergeCell ref="U59:U60"/>
    <mergeCell ref="B61:B62"/>
    <mergeCell ref="C61:C62"/>
    <mergeCell ref="F61:F62"/>
    <mergeCell ref="G61:G62"/>
    <mergeCell ref="I61:I62"/>
    <mergeCell ref="L61:L62"/>
    <mergeCell ref="O61:O62"/>
    <mergeCell ref="R61:R62"/>
    <mergeCell ref="U61:U62"/>
    <mergeCell ref="C43:C44"/>
    <mergeCell ref="A55:A78"/>
    <mergeCell ref="B55:B56"/>
    <mergeCell ref="C55:C56"/>
    <mergeCell ref="F55:F56"/>
    <mergeCell ref="G55:G56"/>
    <mergeCell ref="I55:I56"/>
    <mergeCell ref="B59:B60"/>
    <mergeCell ref="C59:C60"/>
    <mergeCell ref="F59:F60"/>
    <mergeCell ref="G59:G60"/>
    <mergeCell ref="I59:I60"/>
    <mergeCell ref="B63:B64"/>
    <mergeCell ref="C63:C64"/>
    <mergeCell ref="F63:F64"/>
    <mergeCell ref="G63:G64"/>
    <mergeCell ref="I63:I64"/>
    <mergeCell ref="B71:B72"/>
    <mergeCell ref="C71:C72"/>
    <mergeCell ref="F71:F72"/>
    <mergeCell ref="G71:G72"/>
    <mergeCell ref="I71:I72"/>
    <mergeCell ref="B69:B70"/>
    <mergeCell ref="C69:C70"/>
    <mergeCell ref="B53:B54"/>
    <mergeCell ref="C53:C54"/>
    <mergeCell ref="F53:F54"/>
    <mergeCell ref="G53:G54"/>
    <mergeCell ref="I53:I54"/>
    <mergeCell ref="L53:L54"/>
    <mergeCell ref="O53:O54"/>
    <mergeCell ref="B51:B52"/>
    <mergeCell ref="C51:C52"/>
    <mergeCell ref="F51:F52"/>
    <mergeCell ref="G51:G52"/>
    <mergeCell ref="I51:I52"/>
    <mergeCell ref="L51:L52"/>
    <mergeCell ref="L43:L44"/>
    <mergeCell ref="L47:L48"/>
    <mergeCell ref="O47:O48"/>
    <mergeCell ref="R47:R48"/>
    <mergeCell ref="U47:U48"/>
    <mergeCell ref="B49:B50"/>
    <mergeCell ref="C49:C50"/>
    <mergeCell ref="F49:F50"/>
    <mergeCell ref="G49:G50"/>
    <mergeCell ref="I49:I50"/>
    <mergeCell ref="L49:L50"/>
    <mergeCell ref="O49:O50"/>
    <mergeCell ref="R49:R50"/>
    <mergeCell ref="U49:U50"/>
    <mergeCell ref="R45:R46"/>
    <mergeCell ref="U45:U46"/>
    <mergeCell ref="B45:B46"/>
    <mergeCell ref="C45:C46"/>
    <mergeCell ref="F45:F46"/>
    <mergeCell ref="G45:G46"/>
    <mergeCell ref="I45:I46"/>
    <mergeCell ref="L45:L46"/>
    <mergeCell ref="O45:O46"/>
    <mergeCell ref="B43:B44"/>
    <mergeCell ref="L35:L36"/>
    <mergeCell ref="O35:O36"/>
    <mergeCell ref="R35:R36"/>
    <mergeCell ref="U35:U36"/>
    <mergeCell ref="B37:B38"/>
    <mergeCell ref="C37:C38"/>
    <mergeCell ref="F37:F38"/>
    <mergeCell ref="G37:G38"/>
    <mergeCell ref="I37:I38"/>
    <mergeCell ref="L37:L38"/>
    <mergeCell ref="O37:O38"/>
    <mergeCell ref="R37:R38"/>
    <mergeCell ref="U37:U38"/>
    <mergeCell ref="L39:L40"/>
    <mergeCell ref="O39:O40"/>
    <mergeCell ref="R39:R40"/>
    <mergeCell ref="U39:U40"/>
    <mergeCell ref="B41:B42"/>
    <mergeCell ref="C41:C42"/>
    <mergeCell ref="F41:F42"/>
    <mergeCell ref="G41:G42"/>
    <mergeCell ref="I41:I42"/>
    <mergeCell ref="L41:L42"/>
    <mergeCell ref="O41:O42"/>
    <mergeCell ref="R41:R42"/>
    <mergeCell ref="U41:U42"/>
    <mergeCell ref="L31:L32"/>
    <mergeCell ref="O31:O32"/>
    <mergeCell ref="R31:R32"/>
    <mergeCell ref="U31:U32"/>
    <mergeCell ref="B33:B34"/>
    <mergeCell ref="C33:C34"/>
    <mergeCell ref="F33:F34"/>
    <mergeCell ref="G33:G34"/>
    <mergeCell ref="I33:I34"/>
    <mergeCell ref="L33:L34"/>
    <mergeCell ref="O33:O34"/>
    <mergeCell ref="R33:R34"/>
    <mergeCell ref="U33:U34"/>
    <mergeCell ref="A31:A54"/>
    <mergeCell ref="B31:B32"/>
    <mergeCell ref="C31:C32"/>
    <mergeCell ref="F31:F32"/>
    <mergeCell ref="G31:G32"/>
    <mergeCell ref="I31:I32"/>
    <mergeCell ref="B35:B36"/>
    <mergeCell ref="C35:C36"/>
    <mergeCell ref="F35:F36"/>
    <mergeCell ref="G35:G36"/>
    <mergeCell ref="I35:I36"/>
    <mergeCell ref="B39:B40"/>
    <mergeCell ref="C39:C40"/>
    <mergeCell ref="F39:F40"/>
    <mergeCell ref="G39:G40"/>
    <mergeCell ref="I39:I40"/>
    <mergeCell ref="B47:B48"/>
    <mergeCell ref="C47:C48"/>
    <mergeCell ref="F47:F48"/>
    <mergeCell ref="G47:G48"/>
    <mergeCell ref="I47:I48"/>
    <mergeCell ref="F43:F44"/>
    <mergeCell ref="G43:G44"/>
    <mergeCell ref="I43:I44"/>
    <mergeCell ref="O27:O28"/>
    <mergeCell ref="R27:R28"/>
    <mergeCell ref="U27:U28"/>
    <mergeCell ref="B29:B30"/>
    <mergeCell ref="C29:C30"/>
    <mergeCell ref="F29:F30"/>
    <mergeCell ref="G29:G30"/>
    <mergeCell ref="I29:I30"/>
    <mergeCell ref="L29:L30"/>
    <mergeCell ref="O29:O30"/>
    <mergeCell ref="B27:B28"/>
    <mergeCell ref="C27:C28"/>
    <mergeCell ref="F27:F28"/>
    <mergeCell ref="G27:G28"/>
    <mergeCell ref="I27:I28"/>
    <mergeCell ref="L27:L28"/>
    <mergeCell ref="R29:R30"/>
    <mergeCell ref="U29:U30"/>
    <mergeCell ref="F23:F24"/>
    <mergeCell ref="G23:G24"/>
    <mergeCell ref="I23:I24"/>
    <mergeCell ref="L23:L24"/>
    <mergeCell ref="O23:O24"/>
    <mergeCell ref="R23:R24"/>
    <mergeCell ref="U23:U24"/>
    <mergeCell ref="B25:B26"/>
    <mergeCell ref="C25:C26"/>
    <mergeCell ref="F25:F26"/>
    <mergeCell ref="G25:G26"/>
    <mergeCell ref="I25:I26"/>
    <mergeCell ref="L25:L26"/>
    <mergeCell ref="O25:O26"/>
    <mergeCell ref="R25:R26"/>
    <mergeCell ref="U25:U26"/>
    <mergeCell ref="U19:U20"/>
    <mergeCell ref="B21:B22"/>
    <mergeCell ref="C21:C22"/>
    <mergeCell ref="F21:F22"/>
    <mergeCell ref="G21:G22"/>
    <mergeCell ref="I21:I22"/>
    <mergeCell ref="L21:L22"/>
    <mergeCell ref="O21:O22"/>
    <mergeCell ref="B19:B20"/>
    <mergeCell ref="C19:C20"/>
    <mergeCell ref="F19:F20"/>
    <mergeCell ref="G19:G20"/>
    <mergeCell ref="I19:I20"/>
    <mergeCell ref="L19:L20"/>
    <mergeCell ref="R21:R22"/>
    <mergeCell ref="U21:U22"/>
    <mergeCell ref="B17:B18"/>
    <mergeCell ref="C17:C18"/>
    <mergeCell ref="F17:F18"/>
    <mergeCell ref="G17:G18"/>
    <mergeCell ref="I17:I18"/>
    <mergeCell ref="L17:L18"/>
    <mergeCell ref="O17:O18"/>
    <mergeCell ref="R17:R18"/>
    <mergeCell ref="O19:O20"/>
    <mergeCell ref="R19:R20"/>
    <mergeCell ref="U9:U10"/>
    <mergeCell ref="F15:F16"/>
    <mergeCell ref="G15:G16"/>
    <mergeCell ref="I15:I16"/>
    <mergeCell ref="L15:L16"/>
    <mergeCell ref="O15:O16"/>
    <mergeCell ref="R15:R16"/>
    <mergeCell ref="U11:U12"/>
    <mergeCell ref="F13:F14"/>
    <mergeCell ref="G13:G14"/>
    <mergeCell ref="I13:I14"/>
    <mergeCell ref="L13:L14"/>
    <mergeCell ref="O13:O14"/>
    <mergeCell ref="R13:R14"/>
    <mergeCell ref="U13:U14"/>
    <mergeCell ref="F11:F12"/>
    <mergeCell ref="G11:G12"/>
    <mergeCell ref="I11:I12"/>
    <mergeCell ref="L11:L12"/>
    <mergeCell ref="O11:O12"/>
    <mergeCell ref="R11:R12"/>
    <mergeCell ref="I7:I8"/>
    <mergeCell ref="L7:L8"/>
    <mergeCell ref="O7:O8"/>
    <mergeCell ref="R7:R8"/>
    <mergeCell ref="D3:E3"/>
    <mergeCell ref="D4:E4"/>
    <mergeCell ref="D5:E5"/>
    <mergeCell ref="F9:F10"/>
    <mergeCell ref="G9:G10"/>
    <mergeCell ref="I9:I10"/>
    <mergeCell ref="L9:L10"/>
    <mergeCell ref="O9:O10"/>
    <mergeCell ref="R9:R10"/>
    <mergeCell ref="D6:E6"/>
    <mergeCell ref="A6:B6"/>
    <mergeCell ref="Z3:Z6"/>
    <mergeCell ref="Z7:Z78"/>
    <mergeCell ref="X7:X30"/>
    <mergeCell ref="Y7:Y30"/>
    <mergeCell ref="X31:X54"/>
    <mergeCell ref="Y31:Y54"/>
    <mergeCell ref="X55:X78"/>
    <mergeCell ref="Y55:Y78"/>
    <mergeCell ref="A7:A30"/>
    <mergeCell ref="B7:B8"/>
    <mergeCell ref="C7:C8"/>
    <mergeCell ref="B11:B12"/>
    <mergeCell ref="C11:C12"/>
    <mergeCell ref="B15:B16"/>
    <mergeCell ref="C15:C16"/>
    <mergeCell ref="B23:B24"/>
    <mergeCell ref="C23:C24"/>
    <mergeCell ref="B9:B10"/>
    <mergeCell ref="C9:C10"/>
    <mergeCell ref="B13:B14"/>
    <mergeCell ref="C13:C14"/>
    <mergeCell ref="F7:F8"/>
    <mergeCell ref="G7:G8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8" scale="56" orientation="landscape" r:id="rId1"/>
  <ignoredErrors>
    <ignoredError sqref="I8:M8 I7:M7 P7 S7:V7 H79:V92 I9:M78 P9:P78 S9:V78 O8:P8 R8:V8 H8:H77 N8:N77 Q8:Q7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6"/>
  <sheetViews>
    <sheetView zoomScale="70" zoomScaleNormal="70" workbookViewId="0">
      <selection activeCell="U1" sqref="U1"/>
    </sheetView>
  </sheetViews>
  <sheetFormatPr defaultColWidth="8.875" defaultRowHeight="15" customHeight="1"/>
  <cols>
    <col min="1" max="1" width="14.5" style="354" customWidth="1"/>
    <col min="2" max="2" width="15.25" style="354" customWidth="1"/>
    <col min="3" max="3" width="10.875" style="354" customWidth="1"/>
    <col min="4" max="4" width="9.5" style="354" customWidth="1"/>
    <col min="5" max="5" width="8.375" style="67" customWidth="1"/>
    <col min="6" max="6" width="8.5" style="67" customWidth="1"/>
    <col min="7" max="7" width="9.5" style="67" customWidth="1"/>
    <col min="8" max="8" width="12.375" style="68" customWidth="1"/>
    <col min="9" max="9" width="17" style="67" customWidth="1"/>
    <col min="10" max="10" width="18.375" style="67" customWidth="1"/>
    <col min="11" max="11" width="12" style="68" customWidth="1"/>
    <col min="12" max="12" width="17" style="67" customWidth="1"/>
    <col min="13" max="13" width="18.375" style="67" customWidth="1"/>
    <col min="14" max="14" width="14.375" style="354" customWidth="1"/>
    <col min="15" max="15" width="17" style="354" customWidth="1"/>
    <col min="16" max="16" width="18.375" style="354" customWidth="1"/>
    <col min="17" max="17" width="11.625" style="354" customWidth="1"/>
    <col min="18" max="18" width="17" style="354" customWidth="1"/>
    <col min="19" max="19" width="18.375" style="354" customWidth="1"/>
    <col min="20" max="20" width="11.5" style="354" customWidth="1"/>
    <col min="21" max="21" width="10.25" style="354" customWidth="1"/>
    <col min="22" max="22" width="18.375" style="354" customWidth="1"/>
    <col min="23" max="23" width="14.25" style="354" customWidth="1"/>
    <col min="24" max="24" width="13.375" style="66" customWidth="1"/>
    <col min="25" max="25" width="15.75" style="354" customWidth="1"/>
    <col min="26" max="26" width="17.375" style="354" customWidth="1"/>
    <col min="27" max="29" width="8.875" style="354"/>
    <col min="30" max="30" width="12.75" style="354" bestFit="1" customWidth="1"/>
    <col min="31" max="16384" width="8.875" style="354"/>
  </cols>
  <sheetData>
    <row r="1" spans="1:27" ht="15.6" customHeight="1">
      <c r="A1" s="354" t="s">
        <v>926</v>
      </c>
      <c r="Z1" s="329"/>
    </row>
    <row r="2" spans="1:27" ht="15.6" customHeight="1">
      <c r="L2" s="70"/>
    </row>
    <row r="3" spans="1:27" s="355" customFormat="1" ht="42" customHeight="1">
      <c r="A3" s="600" t="s">
        <v>521</v>
      </c>
      <c r="B3" s="600" t="s">
        <v>522</v>
      </c>
      <c r="C3" s="331" t="s">
        <v>121</v>
      </c>
      <c r="D3" s="588" t="s">
        <v>13</v>
      </c>
      <c r="E3" s="588"/>
      <c r="F3" s="331" t="s">
        <v>493</v>
      </c>
      <c r="G3" s="332" t="s">
        <v>76</v>
      </c>
      <c r="H3" s="333" t="s">
        <v>980</v>
      </c>
      <c r="I3" s="71" t="s">
        <v>981</v>
      </c>
      <c r="J3" s="71" t="s">
        <v>982</v>
      </c>
      <c r="K3" s="333" t="s">
        <v>901</v>
      </c>
      <c r="L3" s="71" t="s">
        <v>902</v>
      </c>
      <c r="M3" s="71" t="s">
        <v>916</v>
      </c>
      <c r="N3" s="333" t="s">
        <v>101</v>
      </c>
      <c r="O3" s="71" t="s">
        <v>102</v>
      </c>
      <c r="P3" s="71" t="s">
        <v>103</v>
      </c>
      <c r="Q3" s="333" t="s">
        <v>917</v>
      </c>
      <c r="R3" s="71" t="s">
        <v>918</v>
      </c>
      <c r="S3" s="71" t="s">
        <v>919</v>
      </c>
      <c r="T3" s="333" t="s">
        <v>104</v>
      </c>
      <c r="U3" s="71" t="s">
        <v>105</v>
      </c>
      <c r="V3" s="71" t="s">
        <v>106</v>
      </c>
      <c r="W3" s="71" t="s">
        <v>107</v>
      </c>
      <c r="X3" s="71" t="s">
        <v>88</v>
      </c>
      <c r="Y3" s="71" t="s">
        <v>107</v>
      </c>
      <c r="Z3" s="612" t="s">
        <v>625</v>
      </c>
    </row>
    <row r="4" spans="1:27" s="355" customFormat="1" ht="24.6" customHeight="1">
      <c r="A4" s="600"/>
      <c r="B4" s="600"/>
      <c r="C4" s="234" t="s">
        <v>562</v>
      </c>
      <c r="D4" s="614" t="s">
        <v>61</v>
      </c>
      <c r="E4" s="615"/>
      <c r="F4" s="251" t="s">
        <v>74</v>
      </c>
      <c r="G4" s="251" t="s">
        <v>77</v>
      </c>
      <c r="H4" s="290" t="s">
        <v>73</v>
      </c>
      <c r="I4" s="245" t="s">
        <v>72</v>
      </c>
      <c r="J4" s="245" t="s">
        <v>71</v>
      </c>
      <c r="K4" s="290" t="s">
        <v>81</v>
      </c>
      <c r="L4" s="245" t="s">
        <v>82</v>
      </c>
      <c r="M4" s="245" t="s">
        <v>83</v>
      </c>
      <c r="N4" s="290" t="s">
        <v>81</v>
      </c>
      <c r="O4" s="245" t="s">
        <v>82</v>
      </c>
      <c r="P4" s="245" t="s">
        <v>83</v>
      </c>
      <c r="Q4" s="290" t="s">
        <v>81</v>
      </c>
      <c r="R4" s="245" t="s">
        <v>82</v>
      </c>
      <c r="S4" s="245" t="s">
        <v>83</v>
      </c>
      <c r="T4" s="290" t="s">
        <v>85</v>
      </c>
      <c r="U4" s="245" t="s">
        <v>87</v>
      </c>
      <c r="V4" s="245" t="s">
        <v>83</v>
      </c>
      <c r="W4" s="245" t="s">
        <v>83</v>
      </c>
      <c r="X4" s="245" t="s">
        <v>108</v>
      </c>
      <c r="Y4" s="245" t="s">
        <v>111</v>
      </c>
      <c r="Z4" s="613"/>
    </row>
    <row r="5" spans="1:27" s="355" customFormat="1" ht="51" customHeight="1">
      <c r="A5" s="600"/>
      <c r="B5" s="600"/>
      <c r="C5" s="356" t="s">
        <v>57</v>
      </c>
      <c r="D5" s="600" t="s">
        <v>60</v>
      </c>
      <c r="E5" s="600"/>
      <c r="F5" s="335" t="s">
        <v>62</v>
      </c>
      <c r="G5" s="335" t="s">
        <v>546</v>
      </c>
      <c r="H5" s="336" t="s">
        <v>75</v>
      </c>
      <c r="I5" s="72" t="s">
        <v>78</v>
      </c>
      <c r="J5" s="337" t="s">
        <v>920</v>
      </c>
      <c r="K5" s="336" t="s">
        <v>548</v>
      </c>
      <c r="L5" s="72" t="s">
        <v>80</v>
      </c>
      <c r="M5" s="337" t="s">
        <v>921</v>
      </c>
      <c r="N5" s="336" t="s">
        <v>537</v>
      </c>
      <c r="O5" s="72" t="s">
        <v>549</v>
      </c>
      <c r="P5" s="337" t="s">
        <v>922</v>
      </c>
      <c r="Q5" s="336" t="s">
        <v>539</v>
      </c>
      <c r="R5" s="72" t="s">
        <v>540</v>
      </c>
      <c r="S5" s="337" t="s">
        <v>923</v>
      </c>
      <c r="T5" s="336" t="s">
        <v>453</v>
      </c>
      <c r="U5" s="72" t="s">
        <v>454</v>
      </c>
      <c r="V5" s="337" t="s">
        <v>719</v>
      </c>
      <c r="W5" s="72" t="s">
        <v>541</v>
      </c>
      <c r="X5" s="213" t="s">
        <v>621</v>
      </c>
      <c r="Y5" s="72" t="s">
        <v>622</v>
      </c>
      <c r="Z5" s="584"/>
    </row>
    <row r="6" spans="1:27" s="355" customFormat="1" ht="36" customHeight="1">
      <c r="A6" s="581" t="s">
        <v>312</v>
      </c>
      <c r="B6" s="582"/>
      <c r="C6" s="338" t="s">
        <v>756</v>
      </c>
      <c r="D6" s="601" t="s">
        <v>758</v>
      </c>
      <c r="E6" s="602"/>
      <c r="F6" s="338" t="s">
        <v>510</v>
      </c>
      <c r="G6" s="338" t="s">
        <v>547</v>
      </c>
      <c r="H6" s="73" t="s">
        <v>492</v>
      </c>
      <c r="I6" s="214" t="s">
        <v>511</v>
      </c>
      <c r="J6" s="214" t="s">
        <v>433</v>
      </c>
      <c r="K6" s="73" t="s">
        <v>434</v>
      </c>
      <c r="L6" s="73" t="s">
        <v>435</v>
      </c>
      <c r="M6" s="214" t="s">
        <v>550</v>
      </c>
      <c r="N6" s="73" t="s">
        <v>492</v>
      </c>
      <c r="O6" s="214" t="s">
        <v>512</v>
      </c>
      <c r="P6" s="214" t="s">
        <v>551</v>
      </c>
      <c r="Q6" s="73" t="s">
        <v>492</v>
      </c>
      <c r="R6" s="214" t="s">
        <v>513</v>
      </c>
      <c r="S6" s="214" t="s">
        <v>437</v>
      </c>
      <c r="T6" s="73" t="s">
        <v>492</v>
      </c>
      <c r="U6" s="340" t="s">
        <v>317</v>
      </c>
      <c r="V6" s="214" t="s">
        <v>438</v>
      </c>
      <c r="W6" s="340" t="s">
        <v>545</v>
      </c>
      <c r="X6" s="214" t="s">
        <v>864</v>
      </c>
      <c r="Y6" s="340" t="s">
        <v>545</v>
      </c>
      <c r="Z6" s="585"/>
    </row>
    <row r="7" spans="1:27" ht="15" customHeight="1">
      <c r="A7" s="603" t="s">
        <v>927</v>
      </c>
      <c r="B7" s="588" t="s">
        <v>45</v>
      </c>
      <c r="C7" s="586">
        <f>'ｼｰﾄNO.3（表-3）59頁'!$F$30</f>
        <v>9</v>
      </c>
      <c r="D7" s="216" t="s">
        <v>65</v>
      </c>
      <c r="E7" s="342">
        <f>'ｼｰﾄNO.4（表-4）60頁'!K6</f>
        <v>772.34999999999991</v>
      </c>
      <c r="F7" s="590">
        <f>'ｼｰﾄNO.4（表-4）60頁'!C6/1000</f>
        <v>1.054</v>
      </c>
      <c r="G7" s="590">
        <f>'ｼｰﾄNO.4（表-4）60頁'!C6/1000/('ｼｰﾄNO.4（表-4）60頁'!H6/3600)</f>
        <v>29.643750000000001</v>
      </c>
      <c r="H7" s="219">
        <f>-2.71095565/G7-0.09453616*G7+0.00089493*G7^2+3.15403637</f>
        <v>1.0466003564631281</v>
      </c>
      <c r="I7" s="592">
        <v>10000</v>
      </c>
      <c r="J7" s="343">
        <f>C7*E7*F7*H7/1000000*I7</f>
        <v>76.679301754914221</v>
      </c>
      <c r="K7" s="219">
        <f>1501.20185/G7-2.40935*G7+0.02115*G7^2+174.47635</f>
        <v>172.28121255158959</v>
      </c>
      <c r="L7" s="592">
        <v>2891</v>
      </c>
      <c r="M7" s="343">
        <f>C7*E7*F7*K7/1000000*L7</f>
        <v>3649.0791427542326</v>
      </c>
      <c r="N7" s="219">
        <f>-0.25063622/G7-0.00657231*G7+0.00005332*G7^2+0.29056757</f>
        <v>0.13413976437914132</v>
      </c>
      <c r="O7" s="592">
        <v>840100</v>
      </c>
      <c r="P7" s="343">
        <f>C7*E7*F7*N7/1000000*O7</f>
        <v>825.63062738522092</v>
      </c>
      <c r="Q7" s="219">
        <f>0.093055673/G7-0.0002682273*G7+0.00000218*G7^2+0.0173678037</f>
        <v>1.4471352818974903E-2</v>
      </c>
      <c r="R7" s="592">
        <v>482200</v>
      </c>
      <c r="S7" s="343">
        <f>C7*E7*F7*Q7/1000000*R7</f>
        <v>51.12503392653209</v>
      </c>
      <c r="T7" s="219">
        <f>0.630901162/G7-0.001006579*G7+0.000008915*G7^2+0.0072170055</f>
        <v>6.4950742292543343E-3</v>
      </c>
      <c r="U7" s="592">
        <v>160</v>
      </c>
      <c r="V7" s="343">
        <f>C7*E7*F7*T7*U7</f>
        <v>7613.7983889648076</v>
      </c>
      <c r="W7" s="597">
        <f>SUM(J7:J30)+SUM(M7:M30)+SUM(P7:P30)+SUM(S7:S30)+SUM(V7:V30)</f>
        <v>140897.94643641738</v>
      </c>
      <c r="X7" s="597">
        <f>'ｼｰﾄNO.3（表-3）59頁'!F35</f>
        <v>16</v>
      </c>
      <c r="Y7" s="597">
        <f>W7*X7</f>
        <v>2254367.142982678</v>
      </c>
      <c r="Z7" s="594">
        <f>SUM(Y:Y)</f>
        <v>10427191.973827299</v>
      </c>
      <c r="AA7" s="66"/>
    </row>
    <row r="8" spans="1:27" ht="15" customHeight="1">
      <c r="A8" s="604"/>
      <c r="B8" s="589"/>
      <c r="C8" s="587"/>
      <c r="D8" s="217" t="s">
        <v>66</v>
      </c>
      <c r="E8" s="344">
        <f>'ｼｰﾄNO.4（表-4）60頁'!K7</f>
        <v>40.650000000000006</v>
      </c>
      <c r="F8" s="591"/>
      <c r="G8" s="591"/>
      <c r="H8" s="218">
        <f>12.28697452/G7-0.05907844*G7+0.00051753*G7^2+2.69979197</f>
        <v>1.8177538030136606</v>
      </c>
      <c r="I8" s="593"/>
      <c r="J8" s="345">
        <f>C7*E8*F7*H8/1000000*I7</f>
        <v>7.0093659118950544</v>
      </c>
      <c r="K8" s="218">
        <f>908.52069/G7-23.49889*G7+0.18396*G7^2+1364.81344</f>
        <v>860.52138928887075</v>
      </c>
      <c r="L8" s="593"/>
      <c r="M8" s="345">
        <f>C7*E8*F7*K8/1000000*L7</f>
        <v>959.29776275628376</v>
      </c>
      <c r="N8" s="218">
        <f>9.45345681/G7-0.14325844*G7+0.00124097*G7^2+5.98054622</f>
        <v>3.1432357925564749</v>
      </c>
      <c r="O8" s="593"/>
      <c r="P8" s="345">
        <f>C7*E8*F7*N8/1000000*O7</f>
        <v>1018.2434290554703</v>
      </c>
      <c r="Q8" s="218">
        <f>0.6037810576/G7-0.0052863845*G7+0.000423961*G7^2+0.3189943526</f>
        <v>0.55521053643067186</v>
      </c>
      <c r="R8" s="593"/>
      <c r="S8" s="345">
        <f>C7*E8*F7*Q8/1000000*R7</f>
        <v>103.235383532017</v>
      </c>
      <c r="T8" s="218">
        <f>0.2877659/G7-0.008903887*G7+0.000069093*G7^2+0.516185391</f>
        <v>0.32266386964951294</v>
      </c>
      <c r="U8" s="593"/>
      <c r="V8" s="345">
        <f>C7*E8*F7*T8*U7</f>
        <v>19907.374696589301</v>
      </c>
      <c r="W8" s="598"/>
      <c r="X8" s="598"/>
      <c r="Y8" s="598"/>
      <c r="Z8" s="595"/>
      <c r="AA8" s="66"/>
    </row>
    <row r="9" spans="1:27" ht="15" customHeight="1">
      <c r="A9" s="604"/>
      <c r="B9" s="588" t="s">
        <v>46</v>
      </c>
      <c r="C9" s="586">
        <f>'ｼｰﾄNO.3（表-3）59頁'!$F$30</f>
        <v>9</v>
      </c>
      <c r="D9" s="216" t="s">
        <v>65</v>
      </c>
      <c r="E9" s="342">
        <f>'ｼｰﾄNO.4（表-4）60頁'!K8</f>
        <v>148.19999999999999</v>
      </c>
      <c r="F9" s="590">
        <f>'ｼｰﾄNO.4（表-4）60頁'!C8/1000</f>
        <v>0.76100000000000001</v>
      </c>
      <c r="G9" s="590">
        <f>'ｼｰﾄNO.4（表-4）60頁'!C8/1000/('ｼｰﾄNO.4（表-4）60頁'!H8/3600)</f>
        <v>27.955102040816328</v>
      </c>
      <c r="H9" s="219">
        <f>-2.71095565/G9-0.09453616*G9+0.00089493*G9^2+3.15403637</f>
        <v>1.1136698404962537</v>
      </c>
      <c r="I9" s="592">
        <v>10000</v>
      </c>
      <c r="J9" s="343">
        <f t="shared" ref="J9" si="0">C9*E9*F9*H9/1000000*I9</f>
        <v>11.303991661062202</v>
      </c>
      <c r="K9" s="219">
        <f t="shared" ref="K9" si="1">1501.20185/G9-2.40935*G9+0.02115*G9^2+174.47635</f>
        <v>177.35165078551574</v>
      </c>
      <c r="L9" s="592">
        <v>2891</v>
      </c>
      <c r="M9" s="343">
        <f t="shared" ref="M9" si="2">C9*E9*F9*K9/1000000*L9</f>
        <v>520.42565413220871</v>
      </c>
      <c r="N9" s="219">
        <f>-0.25063622/G9-0.00657231*G9+0.00005332*G9^2+0.29056757</f>
        <v>0.13954122906549798</v>
      </c>
      <c r="O9" s="592">
        <v>840100</v>
      </c>
      <c r="P9" s="343">
        <f t="shared" ref="P9" si="3">C9*E9*F9*N9/1000000*O9</f>
        <v>118.98957091918027</v>
      </c>
      <c r="Q9" s="219">
        <f>0.093055673/G9-0.0002682273*G9+0.00000218*G9^2+0.0173678037</f>
        <v>1.4901879955931608E-2</v>
      </c>
      <c r="R9" s="592">
        <v>482200</v>
      </c>
      <c r="S9" s="343">
        <f t="shared" ref="S9" si="4">C9*E9*F9*Q9/1000000*R9</f>
        <v>7.2936284604374961</v>
      </c>
      <c r="T9" s="219">
        <f t="shared" ref="T9" si="5">0.630901162/G9-0.001006579*G9+0.000008915*G9^2+0.0072170055</f>
        <v>8.6133226666943175E-3</v>
      </c>
      <c r="U9" s="592">
        <v>160</v>
      </c>
      <c r="V9" s="343">
        <f t="shared" ref="V9" si="6">C9*E9*F9*T9*U9</f>
        <v>1398.8336443406185</v>
      </c>
      <c r="W9" s="598"/>
      <c r="X9" s="598"/>
      <c r="Y9" s="598"/>
      <c r="Z9" s="595"/>
      <c r="AA9" s="66"/>
    </row>
    <row r="10" spans="1:27" ht="15" customHeight="1">
      <c r="A10" s="604"/>
      <c r="B10" s="589"/>
      <c r="C10" s="587"/>
      <c r="D10" s="217" t="s">
        <v>66</v>
      </c>
      <c r="E10" s="344">
        <f>'ｼｰﾄNO.4（表-4）60頁'!K9</f>
        <v>7.8000000000000007</v>
      </c>
      <c r="F10" s="591"/>
      <c r="G10" s="591"/>
      <c r="H10" s="218">
        <f>12.28697452/G9-0.05907844*G9+0.00051753*G9^2+2.69979197</f>
        <v>1.8922167930969032</v>
      </c>
      <c r="I10" s="593"/>
      <c r="J10" s="345">
        <f t="shared" ref="J10" si="7">C9*E10*F9*H10/1000000*I9</f>
        <v>1.0108638396418139</v>
      </c>
      <c r="K10" s="218">
        <f t="shared" ref="K10" si="8">908.52069/G9-23.49889*G9+0.18396*G9^2+1364.81344</f>
        <v>884.1613350837506</v>
      </c>
      <c r="L10" s="593"/>
      <c r="M10" s="345">
        <f t="shared" ref="M10" si="9">C9*E10*F9*K10/1000000*L9</f>
        <v>136.55304206474631</v>
      </c>
      <c r="N10" s="218">
        <f>9.45345681/G9-0.14325844*G9+0.00124097*G9^2+5.98054622</f>
        <v>3.2837104457456512</v>
      </c>
      <c r="O10" s="593"/>
      <c r="P10" s="345">
        <f t="shared" ref="P10" si="10">C9*E10*F9*N10/1000000*O9</f>
        <v>147.37289269037666</v>
      </c>
      <c r="Q10" s="218">
        <f>0.6037810576/G9-0.0052863845*G9+0.000423961*G9^2+0.3189943526</f>
        <v>0.52413149597119757</v>
      </c>
      <c r="R10" s="593"/>
      <c r="S10" s="345">
        <f t="shared" ref="S10" si="11">C9*E10*F9*Q10/1000000*R9</f>
        <v>13.501724216683765</v>
      </c>
      <c r="T10" s="218">
        <f t="shared" ref="T10" si="12">0.2877659/G9-0.008903887*G9+0.000069093*G9^2+0.516185391</f>
        <v>0.33156551285231084</v>
      </c>
      <c r="U10" s="593"/>
      <c r="V10" s="345">
        <f t="shared" ref="V10" si="13">C9*E10*F9*T10*U9</f>
        <v>2834.0734625117957</v>
      </c>
      <c r="W10" s="598"/>
      <c r="X10" s="598"/>
      <c r="Y10" s="598"/>
      <c r="Z10" s="595"/>
      <c r="AA10" s="66"/>
    </row>
    <row r="11" spans="1:27" ht="15" customHeight="1">
      <c r="A11" s="604"/>
      <c r="B11" s="588" t="s">
        <v>47</v>
      </c>
      <c r="C11" s="586">
        <f>'ｼｰﾄNO.3（表-3）59頁'!$F$30</f>
        <v>9</v>
      </c>
      <c r="D11" s="216" t="s">
        <v>65</v>
      </c>
      <c r="E11" s="342">
        <f>'ｼｰﾄNO.4（表-4）60頁'!K10</f>
        <v>41.8</v>
      </c>
      <c r="F11" s="590">
        <f>'ｼｰﾄNO.4（表-4）60頁'!C10/1000</f>
        <v>0.82399999999999995</v>
      </c>
      <c r="G11" s="590">
        <f>'ｼｰﾄNO.4（表-4）60頁'!C10/1000/('ｼｰﾄNO.4（表-4）60頁'!H10/3600)</f>
        <v>24.927731092436975</v>
      </c>
      <c r="H11" s="219">
        <f>-2.71095565/G11-0.09453616*G11+0.00089493*G11^2+3.15403637</f>
        <v>1.2448139350987362</v>
      </c>
      <c r="I11" s="592">
        <v>10000</v>
      </c>
      <c r="J11" s="343">
        <f t="shared" ref="J11" si="14">C11*E11*F11*H11/1000000*I11</f>
        <v>3.8587837796453504</v>
      </c>
      <c r="K11" s="219">
        <f t="shared" ref="K11" si="15">1501.20185/G11-2.40935*G11+0.02115*G11^2+174.47635</f>
        <v>187.78131877798023</v>
      </c>
      <c r="L11" s="592">
        <v>2891</v>
      </c>
      <c r="M11" s="343">
        <f t="shared" ref="M11" si="16">C11*E11*F11*K11/1000000*L11</f>
        <v>168.28541549313667</v>
      </c>
      <c r="N11" s="219">
        <f>-0.25063622/G11-0.00657231*G11+0.00005332*G11^2+0.29056757</f>
        <v>0.14981288928616346</v>
      </c>
      <c r="O11" s="592">
        <v>840100</v>
      </c>
      <c r="P11" s="343">
        <f t="shared" ref="P11" si="17">C11*E11*F11*N11/1000000*O11</f>
        <v>39.014510962231988</v>
      </c>
      <c r="Q11" s="219">
        <f>0.093055673/G11-0.0002682273*G11+0.00000218*G11^2+0.0173678037</f>
        <v>1.5769157934508494E-2</v>
      </c>
      <c r="R11" s="592">
        <v>482200</v>
      </c>
      <c r="S11" s="343">
        <f t="shared" ref="S11" si="18">C11*E11*F11*Q11/1000000*R11</f>
        <v>2.3571201028210909</v>
      </c>
      <c r="T11" s="219">
        <f t="shared" ref="T11" si="19">0.630901162/G11-0.001006579*G11+0.000008915*G11^2+0.0072170055</f>
        <v>1.2974191796488203E-2</v>
      </c>
      <c r="U11" s="592">
        <v>160</v>
      </c>
      <c r="V11" s="343">
        <f t="shared" ref="V11" si="20">C11*E11*F11*T11*U11</f>
        <v>643.49666335411553</v>
      </c>
      <c r="W11" s="598"/>
      <c r="X11" s="598"/>
      <c r="Y11" s="598"/>
      <c r="Z11" s="595"/>
      <c r="AA11" s="66"/>
    </row>
    <row r="12" spans="1:27" ht="15" customHeight="1">
      <c r="A12" s="604"/>
      <c r="B12" s="589"/>
      <c r="C12" s="587"/>
      <c r="D12" s="217" t="s">
        <v>66</v>
      </c>
      <c r="E12" s="344">
        <f>'ｼｰﾄNO.4（表-4）60頁'!K11</f>
        <v>2.2000000000000002</v>
      </c>
      <c r="F12" s="591"/>
      <c r="G12" s="591"/>
      <c r="H12" s="218">
        <f>12.28697452/G11-0.05907844*G11+0.00051753*G11^2+2.69979197</f>
        <v>2.0415932365843594</v>
      </c>
      <c r="I12" s="593"/>
      <c r="J12" s="345">
        <f t="shared" ref="J12" si="21">C11*E12*F11*H12/1000000*I11</f>
        <v>0.33309001973521141</v>
      </c>
      <c r="K12" s="218">
        <f t="shared" ref="K12" si="22">908.52069/G11-23.49889*G11+0.18396*G11^2+1364.81344</f>
        <v>929.79684512079211</v>
      </c>
      <c r="L12" s="593"/>
      <c r="M12" s="345">
        <f t="shared" ref="M12" si="23">C11*E12*F11*K12/1000000*L11</f>
        <v>43.855953920405135</v>
      </c>
      <c r="N12" s="218">
        <f>9.45345681/G11-0.14325844*G11+0.00124097*G11^2+5.98054622</f>
        <v>3.5598014520360097</v>
      </c>
      <c r="O12" s="593"/>
      <c r="P12" s="345">
        <f t="shared" ref="P12" si="24">C11*E12*F11*N12/1000000*O11</f>
        <v>48.792060913481663</v>
      </c>
      <c r="Q12" s="218">
        <f>0.6037810576/G11-0.0052863845*G11+0.000423961*G11^2+0.3189943526</f>
        <v>0.47488392074238339</v>
      </c>
      <c r="R12" s="593"/>
      <c r="S12" s="345">
        <f t="shared" ref="S12" si="25">C11*E12*F11*Q12/1000000*R11</f>
        <v>3.736001766490276</v>
      </c>
      <c r="T12" s="218">
        <f t="shared" ref="T12" si="26">0.2877659/G11-0.008903887*G11+0.000069093*G11^2+0.516185391</f>
        <v>0.34870951917435056</v>
      </c>
      <c r="U12" s="593"/>
      <c r="V12" s="345">
        <f t="shared" ref="V12" si="27">C11*E12*F11*T12*U11</f>
        <v>910.2824875573383</v>
      </c>
      <c r="W12" s="598"/>
      <c r="X12" s="598"/>
      <c r="Y12" s="598"/>
      <c r="Z12" s="595"/>
      <c r="AA12" s="66"/>
    </row>
    <row r="13" spans="1:27" ht="15" customHeight="1">
      <c r="A13" s="604"/>
      <c r="B13" s="588" t="s">
        <v>48</v>
      </c>
      <c r="C13" s="586">
        <f>'ｼｰﾄNO.3（表-3）59頁'!$F$30</f>
        <v>9</v>
      </c>
      <c r="D13" s="216" t="s">
        <v>65</v>
      </c>
      <c r="E13" s="342">
        <f>'ｼｰﾄNO.4（表-4）60頁'!K12</f>
        <v>753.34999999999991</v>
      </c>
      <c r="F13" s="590">
        <f>'ｼｰﾄNO.4（表-4）60頁'!C12/1000</f>
        <v>1.054</v>
      </c>
      <c r="G13" s="590">
        <f>'ｼｰﾄNO.4（表-4）60頁'!C12/1000/('ｼｰﾄNO.4（表-4）60頁'!H12/3600)</f>
        <v>30.6</v>
      </c>
      <c r="H13" s="219">
        <f>-2.71095565/G13-0.09453616*G13+0.00089493*G13^2+3.15403637</f>
        <v>1.0106132069045755</v>
      </c>
      <c r="I13" s="592">
        <v>10000</v>
      </c>
      <c r="J13" s="343">
        <f t="shared" ref="J13" si="28">C13*E13*F13*H13/1000000*I13</f>
        <v>72.221230280729358</v>
      </c>
      <c r="K13" s="219">
        <f t="shared" ref="K13" si="29">1501.20185/G13-2.40935*G13+0.02115*G13^2+174.47635</f>
        <v>169.61313798692811</v>
      </c>
      <c r="L13" s="592">
        <v>2891</v>
      </c>
      <c r="M13" s="343">
        <f t="shared" ref="M13" si="30">C13*E13*F13*K13/1000000*L13</f>
        <v>3504.1887711767467</v>
      </c>
      <c r="N13" s="219">
        <f>-0.25063622/G13-0.00657231*G13+0.00005332*G13^2+0.29056757</f>
        <v>0.13119087305620916</v>
      </c>
      <c r="O13" s="592">
        <v>840100</v>
      </c>
      <c r="P13" s="343">
        <f t="shared" ref="P13" si="31">C13*E13*F13*N13/1000000*O13</f>
        <v>787.61598160113681</v>
      </c>
      <c r="Q13" s="219">
        <f>0.093055673/G13-0.0002682273*G13+0.00000218*G13^2+0.0173678037</f>
        <v>1.4242348185359476E-2</v>
      </c>
      <c r="R13" s="592">
        <v>482200</v>
      </c>
      <c r="S13" s="343">
        <f t="shared" ref="S13" si="32">C13*E13*F13*Q13/1000000*R13</f>
        <v>49.078210364257536</v>
      </c>
      <c r="T13" s="219">
        <f t="shared" ref="T13" si="33">0.630901162/G13-0.001006579*G13+0.000008915*G13^2+0.0072170055</f>
        <v>5.3810225326797346E-3</v>
      </c>
      <c r="U13" s="592">
        <v>160</v>
      </c>
      <c r="V13" s="343">
        <f t="shared" ref="V13" si="34">C13*E13*F13*T13*U13</f>
        <v>6152.6853569433151</v>
      </c>
      <c r="W13" s="598"/>
      <c r="X13" s="598"/>
      <c r="Y13" s="598"/>
      <c r="Z13" s="595"/>
      <c r="AA13" s="66"/>
    </row>
    <row r="14" spans="1:27" ht="15" customHeight="1">
      <c r="A14" s="604"/>
      <c r="B14" s="589"/>
      <c r="C14" s="587"/>
      <c r="D14" s="217" t="s">
        <v>66</v>
      </c>
      <c r="E14" s="344">
        <f>'ｼｰﾄNO.4（表-4）60頁'!K13</f>
        <v>39.650000000000006</v>
      </c>
      <c r="F14" s="591"/>
      <c r="G14" s="591"/>
      <c r="H14" s="218">
        <f>12.28697452/G13-0.05907844*G13+0.00051753*G13^2+2.69979197</f>
        <v>1.7781212118326797</v>
      </c>
      <c r="I14" s="593"/>
      <c r="J14" s="345">
        <f t="shared" ref="J14" si="35">C13*E14*F13*H14/1000000*I13</f>
        <v>6.6878677238238646</v>
      </c>
      <c r="K14" s="218">
        <f t="shared" ref="K14" si="36">908.52069/G13-23.49889*G13+0.18396*G13^2+1364.81344</f>
        <v>847.69041022745091</v>
      </c>
      <c r="L14" s="593"/>
      <c r="M14" s="345">
        <f t="shared" ref="M14" si="37">C13*E14*F13*K14/1000000*L13</f>
        <v>921.74687465362149</v>
      </c>
      <c r="N14" s="218">
        <f>9.45345681/G13-0.14325844*G13+0.00124097*G13^2+5.98054622</f>
        <v>3.0677691222588237</v>
      </c>
      <c r="O14" s="593"/>
      <c r="P14" s="345">
        <f t="shared" ref="P14" si="38">C13*E14*F13*N14/1000000*O13</f>
        <v>969.3485579106931</v>
      </c>
      <c r="Q14" s="218">
        <f>0.6037810576/G13-0.0052863845*G13+0.000423961*G13^2+0.3189943526</f>
        <v>0.57394251597111112</v>
      </c>
      <c r="R14" s="593"/>
      <c r="S14" s="345">
        <f t="shared" ref="S14" si="39">C13*E14*F13*Q14/1000000*R13</f>
        <v>104.09309346591348</v>
      </c>
      <c r="T14" s="218">
        <f t="shared" ref="T14" si="40">0.2877659/G13-0.008903887*G13+0.000069093*G13^2+0.516185391</f>
        <v>0.31782648465908503</v>
      </c>
      <c r="U14" s="593"/>
      <c r="V14" s="345">
        <f t="shared" ref="V14" si="41">C13*E14*F13*T14*U13</f>
        <v>19126.538500372259</v>
      </c>
      <c r="W14" s="598"/>
      <c r="X14" s="598"/>
      <c r="Y14" s="598"/>
      <c r="Z14" s="595"/>
      <c r="AA14" s="66"/>
    </row>
    <row r="15" spans="1:27" ht="15" customHeight="1">
      <c r="A15" s="604"/>
      <c r="B15" s="588" t="s">
        <v>49</v>
      </c>
      <c r="C15" s="586">
        <f>'ｼｰﾄNO.3（表-3）59頁'!$F$30</f>
        <v>9</v>
      </c>
      <c r="D15" s="216" t="s">
        <v>65</v>
      </c>
      <c r="E15" s="342">
        <f>'ｼｰﾄNO.4（表-4）60頁'!K14</f>
        <v>39.9</v>
      </c>
      <c r="F15" s="590">
        <f>'ｼｰﾄNO.4（表-4）60頁'!C14/1000</f>
        <v>0.84799999999999998</v>
      </c>
      <c r="G15" s="590">
        <f>'ｼｰﾄNO.4（表-4）60頁'!C14/1000/('ｼｰﾄNO.4（表-4）60頁'!H14/3600)</f>
        <v>22.613333333333333</v>
      </c>
      <c r="H15" s="219">
        <f>-2.71095565/G15-0.09453616*G15+0.00089493*G15^2+3.15403637</f>
        <v>1.3540095598927391</v>
      </c>
      <c r="I15" s="592">
        <v>10000</v>
      </c>
      <c r="J15" s="343">
        <f t="shared" ref="J15" si="42">C15*E15*F15*H15/1000000*I15</f>
        <v>4.1231865834794519</v>
      </c>
      <c r="K15" s="219">
        <f t="shared" ref="K15" si="43">1501.20185/G15-2.40935*G15+0.02115*G15^2+174.47635</f>
        <v>197.19393451102201</v>
      </c>
      <c r="L15" s="592">
        <v>2891</v>
      </c>
      <c r="M15" s="343">
        <f t="shared" ref="M15" si="44">C15*E15*F15*K15/1000000*L15</f>
        <v>173.60127136519699</v>
      </c>
      <c r="N15" s="219">
        <f>-0.25063622/G15-0.00657231*G15+0.00005332*G15^2+0.29056757</f>
        <v>0.15812804080870232</v>
      </c>
      <c r="O15" s="592">
        <v>840100</v>
      </c>
      <c r="P15" s="343">
        <f t="shared" ref="P15" si="45">C15*E15*F15*N15/1000000*O15</f>
        <v>40.453037045459503</v>
      </c>
      <c r="Q15" s="219">
        <f>0.093055673/G15-0.0002682273*G15+0.00000218*G15^2+0.0173678037</f>
        <v>1.6532141236016248E-2</v>
      </c>
      <c r="R15" s="592">
        <v>482200</v>
      </c>
      <c r="S15" s="343">
        <f t="shared" ref="S15" si="46">C15*E15*F15*Q15/1000000*R15</f>
        <v>2.4275465706850095</v>
      </c>
      <c r="T15" s="219">
        <f t="shared" ref="T15" si="47">0.630901162/G15-0.001006579*G15+0.000008915*G15^2+0.0072170055</f>
        <v>1.6913219530124743E-2</v>
      </c>
      <c r="U15" s="592">
        <v>160</v>
      </c>
      <c r="V15" s="343">
        <f t="shared" ref="V15" si="48">C15*E15*F15*T15*U15</f>
        <v>824.05751824177446</v>
      </c>
      <c r="W15" s="598"/>
      <c r="X15" s="598"/>
      <c r="Y15" s="598"/>
      <c r="Z15" s="595"/>
      <c r="AA15" s="66"/>
    </row>
    <row r="16" spans="1:27" ht="15" customHeight="1">
      <c r="A16" s="604"/>
      <c r="B16" s="589"/>
      <c r="C16" s="587"/>
      <c r="D16" s="217" t="s">
        <v>66</v>
      </c>
      <c r="E16" s="344">
        <f>'ｼｰﾄNO.4（表-4）60頁'!K15</f>
        <v>2.1</v>
      </c>
      <c r="F16" s="591"/>
      <c r="G16" s="591"/>
      <c r="H16" s="218">
        <f>12.28697452/G15-0.05907844*G15+0.00051753*G15^2+2.69979197</f>
        <v>2.1718280043001132</v>
      </c>
      <c r="I16" s="593"/>
      <c r="J16" s="345">
        <f t="shared" ref="J16" si="49">C15*E16*F15*H16/1000000*I15</f>
        <v>0.34808321790518776</v>
      </c>
      <c r="K16" s="218">
        <f t="shared" ref="K16" si="50">908.52069/G15-23.49889*G15+0.18396*G15^2+1364.81344</f>
        <v>967.67184401344969</v>
      </c>
      <c r="L16" s="593"/>
      <c r="M16" s="345">
        <f t="shared" ref="M16" si="51">C15*E16*F15*K16/1000000*L15</f>
        <v>44.8367218856745</v>
      </c>
      <c r="N16" s="218">
        <f>9.45345681/G15-0.14325844*G15+0.00124097*G15^2+5.98054622</f>
        <v>3.7936292257149553</v>
      </c>
      <c r="O16" s="593"/>
      <c r="P16" s="345">
        <f t="shared" ref="P16" si="52">C15*E16*F15*N16/1000000*O15</f>
        <v>51.079133759590775</v>
      </c>
      <c r="Q16" s="218">
        <f>0.6037810576/G15-0.0052863845*G15+0.000423961*G15^2+0.3189943526</f>
        <v>0.4429497043225048</v>
      </c>
      <c r="R16" s="593"/>
      <c r="S16" s="345">
        <f t="shared" ref="S16" si="53">C15*E16*F15*Q16/1000000*R15</f>
        <v>3.4232552162389305</v>
      </c>
      <c r="T16" s="218">
        <f t="shared" ref="T16" si="54">0.2877659/G15-0.008903887*G15+0.000069093*G15^2+0.516185391</f>
        <v>0.3628959160749422</v>
      </c>
      <c r="U16" s="593"/>
      <c r="V16" s="345">
        <f t="shared" ref="V16" si="55">C15*E16*F15*T16*U15</f>
        <v>930.59286817861016</v>
      </c>
      <c r="W16" s="598"/>
      <c r="X16" s="598"/>
      <c r="Y16" s="598"/>
      <c r="Z16" s="595"/>
      <c r="AA16" s="66"/>
    </row>
    <row r="17" spans="1:27" ht="15" customHeight="1">
      <c r="A17" s="604"/>
      <c r="B17" s="588" t="s">
        <v>50</v>
      </c>
      <c r="C17" s="586">
        <f>'ｼｰﾄNO.3（表-3）59頁'!$F$30</f>
        <v>9</v>
      </c>
      <c r="D17" s="216" t="s">
        <v>65</v>
      </c>
      <c r="E17" s="342">
        <f>'ｼｰﾄNO.4（表-4）60頁'!K16</f>
        <v>147.25</v>
      </c>
      <c r="F17" s="590">
        <f>'ｼｰﾄNO.4（表-4）60頁'!C16/1000</f>
        <v>0.91</v>
      </c>
      <c r="G17" s="590">
        <f>'ｼｰﾄNO.4（表-4）60頁'!C16/1000/('ｼｰﾄNO.4（表-4）60頁'!H16/3600)</f>
        <v>30.055045871559635</v>
      </c>
      <c r="H17" s="219">
        <f>-2.71095565/G17-0.09453616*G17+0.00089493*G17^2+3.15403637</f>
        <v>1.030943504144429</v>
      </c>
      <c r="I17" s="592">
        <v>10000</v>
      </c>
      <c r="J17" s="343">
        <f t="shared" ref="J17" si="56">C17*E17*F17*H17/1000000*I17</f>
        <v>12.432946697693382</v>
      </c>
      <c r="K17" s="219">
        <f t="shared" ref="K17" si="57">1501.20185/G17-2.40935*G17+0.02115*G17^2+174.47635</f>
        <v>171.11655572795735</v>
      </c>
      <c r="L17" s="592">
        <v>2891</v>
      </c>
      <c r="M17" s="343">
        <f t="shared" ref="M17" si="58">C17*E17*F17*K17/1000000*L17</f>
        <v>596.59461220292803</v>
      </c>
      <c r="N17" s="219">
        <f>-0.25063622/G17-0.00657231*G17+0.00005332*G17^2+0.29056757</f>
        <v>0.13286151647220723</v>
      </c>
      <c r="O17" s="592">
        <v>840100</v>
      </c>
      <c r="P17" s="343">
        <f t="shared" ref="P17" si="59">C17*E17*F17*N17/1000000*O17</f>
        <v>134.60754236429162</v>
      </c>
      <c r="Q17" s="219">
        <f>0.093055673/G17-0.0002682273*G17+0.00000218*G17^2+0.0173678037</f>
        <v>1.4371601212148963E-2</v>
      </c>
      <c r="R17" s="592">
        <v>482200</v>
      </c>
      <c r="S17" s="343">
        <f t="shared" ref="S17" si="60">C17*E17*F17*Q17/1000000*R17</f>
        <v>8.3574073173375147</v>
      </c>
      <c r="T17" s="219">
        <f t="shared" ref="T17" si="61">0.630901162/G17-0.001006579*G17+0.000008915*G17^2+0.0072170055</f>
        <v>6.0087207101030028E-3</v>
      </c>
      <c r="U17" s="592">
        <v>160</v>
      </c>
      <c r="V17" s="343">
        <f t="shared" ref="V17" si="62">C17*E17*F17*T17*U17</f>
        <v>1159.4211168269189</v>
      </c>
      <c r="W17" s="598"/>
      <c r="X17" s="598"/>
      <c r="Y17" s="598"/>
      <c r="Z17" s="595"/>
      <c r="AA17" s="66"/>
    </row>
    <row r="18" spans="1:27" ht="15" customHeight="1">
      <c r="A18" s="604"/>
      <c r="B18" s="589"/>
      <c r="C18" s="587"/>
      <c r="D18" s="217" t="s">
        <v>66</v>
      </c>
      <c r="E18" s="344">
        <f>'ｼｰﾄNO.4（表-4）60頁'!K17</f>
        <v>7.75</v>
      </c>
      <c r="F18" s="591"/>
      <c r="G18" s="591"/>
      <c r="H18" s="218">
        <f>12.28697452/G17-0.05907844*G17+0.00051753*G17^2+2.69979197</f>
        <v>1.8004902841038075</v>
      </c>
      <c r="I18" s="593"/>
      <c r="J18" s="345">
        <f t="shared" ref="J18" si="63">C17*E18*F17*H18/1000000*I17</f>
        <v>1.1428161955777894</v>
      </c>
      <c r="K18" s="218">
        <f t="shared" ref="K18" si="64">908.52069/G17-23.49889*G17+0.18396*G17^2+1364.81344</f>
        <v>854.95391259522842</v>
      </c>
      <c r="L18" s="593"/>
      <c r="M18" s="345">
        <f t="shared" ref="M18" si="65">C17*E18*F17*K18/1000000*L17</f>
        <v>156.88318586992705</v>
      </c>
      <c r="N18" s="218">
        <f>9.45345681/G17-0.14325844*G17+0.00124097*G17^2+5.98054622</f>
        <v>3.11042070390894</v>
      </c>
      <c r="O18" s="593"/>
      <c r="P18" s="345">
        <f t="shared" ref="P18" si="66">C17*E18*F17*N18/1000000*O17</f>
        <v>165.85773224605546</v>
      </c>
      <c r="Q18" s="218">
        <f>0.6037810576/G17-0.0052863845*G17+0.000423961*G17^2+0.3189943526</f>
        <v>0.56316742112801155</v>
      </c>
      <c r="R18" s="593"/>
      <c r="S18" s="345">
        <f t="shared" ref="S18" si="67">C17*E18*F17*Q18/1000000*R17</f>
        <v>17.236549603125507</v>
      </c>
      <c r="T18" s="218">
        <f t="shared" ref="T18" si="68">0.2877659/G17-0.008903887*G17+0.000069093*G17^2+0.516185391</f>
        <v>0.32056539374004506</v>
      </c>
      <c r="U18" s="593"/>
      <c r="V18" s="345">
        <f t="shared" ref="V18" si="69">C17*E18*F17*T18*U17</f>
        <v>3255.5339126664016</v>
      </c>
      <c r="W18" s="598"/>
      <c r="X18" s="598"/>
      <c r="Y18" s="598"/>
      <c r="Z18" s="595"/>
      <c r="AA18" s="66"/>
    </row>
    <row r="19" spans="1:27" ht="15" customHeight="1">
      <c r="A19" s="604"/>
      <c r="B19" s="588" t="s">
        <v>51</v>
      </c>
      <c r="C19" s="586">
        <f>'ｼｰﾄNO.3（表-3）59頁'!$F$30</f>
        <v>9</v>
      </c>
      <c r="D19" s="216" t="s">
        <v>65</v>
      </c>
      <c r="E19" s="342">
        <f>'ｼｰﾄNO.4（表-4）60頁'!K18</f>
        <v>54.15</v>
      </c>
      <c r="F19" s="590">
        <f>'ｼｰﾄNO.4（表-4）60頁'!C18/1000</f>
        <v>0.76100000000000001</v>
      </c>
      <c r="G19" s="590">
        <f>'ｼｰﾄNO.4（表-4）60頁'!C18/1000/('ｼｰﾄNO.4（表-4）60頁'!H18/3600)</f>
        <v>22.641322314049585</v>
      </c>
      <c r="H19" s="219">
        <f>-2.71095565/G19-0.09453616*G19+0.00089493*G19^2+3.15403637</f>
        <v>1.3526453340932798</v>
      </c>
      <c r="I19" s="592">
        <v>10000</v>
      </c>
      <c r="J19" s="343">
        <f t="shared" ref="J19" si="70">C19*E19*F19*H19/1000000*I19</f>
        <v>5.0166010641704384</v>
      </c>
      <c r="K19" s="219">
        <f t="shared" ref="K19" si="71">1501.20185/G19-2.40935*G19+0.02115*G19^2+174.47635</f>
        <v>197.07122317498113</v>
      </c>
      <c r="L19" s="592">
        <v>2891</v>
      </c>
      <c r="M19" s="343">
        <f t="shared" ref="M19" si="72">C19*E19*F19*K19/1000000*L19</f>
        <v>211.29875152721084</v>
      </c>
      <c r="N19" s="219">
        <f>-0.25063622/G19-0.00657231*G19+0.00005332*G19^2+0.29056757</f>
        <v>0.15802532673956798</v>
      </c>
      <c r="O19" s="592">
        <v>840100</v>
      </c>
      <c r="P19" s="343">
        <f t="shared" ref="P19" si="73">C19*E19*F19*N19/1000000*O19</f>
        <v>49.236061880939722</v>
      </c>
      <c r="Q19" s="219">
        <f>0.093055673/G19-0.0002682273*G19+0.00000218*G19^2+0.0173678037</f>
        <v>1.6522308062949704E-2</v>
      </c>
      <c r="R19" s="592">
        <v>482200</v>
      </c>
      <c r="S19" s="343">
        <f t="shared" ref="S19" si="74">C19*E19*F19*Q19/1000000*R19</f>
        <v>2.9547690999286043</v>
      </c>
      <c r="T19" s="219">
        <f t="shared" ref="T19" si="75">0.630901162/G19-0.001006579*G19+0.000008915*G19^2+0.0072170055</f>
        <v>1.6861849317317577E-2</v>
      </c>
      <c r="U19" s="592">
        <v>160</v>
      </c>
      <c r="V19" s="343">
        <f t="shared" ref="V19" si="76">C19*E19*F19*T19*U19</f>
        <v>1000.5776869614051</v>
      </c>
      <c r="W19" s="598"/>
      <c r="X19" s="598"/>
      <c r="Y19" s="598"/>
      <c r="Z19" s="595"/>
      <c r="AA19" s="66"/>
    </row>
    <row r="20" spans="1:27" ht="15" customHeight="1">
      <c r="A20" s="604"/>
      <c r="B20" s="589"/>
      <c r="C20" s="587"/>
      <c r="D20" s="217" t="s">
        <v>66</v>
      </c>
      <c r="E20" s="344">
        <f>'ｼｰﾄNO.4（表-4）60頁'!K19</f>
        <v>2.85</v>
      </c>
      <c r="F20" s="591"/>
      <c r="G20" s="591"/>
      <c r="H20" s="218">
        <f>12.28697452/G19-0.05907844*G19+0.00051753*G19^2+2.69979197</f>
        <v>2.1701582938483104</v>
      </c>
      <c r="I20" s="593"/>
      <c r="J20" s="345">
        <f t="shared" ref="J20" si="77">C19*E20*F19*H20/1000000*I19</f>
        <v>0.42360730340516178</v>
      </c>
      <c r="K20" s="218">
        <f t="shared" ref="K20" si="78">908.52069/G19-23.49889*G19+0.18396*G19^2+1364.81344</f>
        <v>967.19747801654171</v>
      </c>
      <c r="L20" s="593"/>
      <c r="M20" s="345">
        <f t="shared" ref="M20" si="79">C19*E20*F19*K20/1000000*L19</f>
        <v>54.580218923854325</v>
      </c>
      <c r="N20" s="218">
        <f>9.45345681/G19-0.14325844*G19+0.00124097*G19^2+5.98054622</f>
        <v>3.7906746331889405</v>
      </c>
      <c r="O20" s="593"/>
      <c r="P20" s="345">
        <f t="shared" ref="P20" si="80">C19*E20*F19*N20/1000000*O19</f>
        <v>62.161218631340638</v>
      </c>
      <c r="Q20" s="218">
        <f>0.6037810576/G19-0.0052863845*G19+0.000423961*G19^2+0.3189943526</f>
        <v>0.44330573968938591</v>
      </c>
      <c r="R20" s="593"/>
      <c r="S20" s="345">
        <f t="shared" ref="S20" si="81">C19*E20*F19*Q20/1000000*R19</f>
        <v>4.1725599635692037</v>
      </c>
      <c r="T20" s="218">
        <f t="shared" ref="T20" si="82">0.2877659/G19-0.008903887*G19+0.000069093*G19^2+0.516185391</f>
        <v>0.36271848960200154</v>
      </c>
      <c r="U20" s="593"/>
      <c r="V20" s="345">
        <f t="shared" ref="V20" si="83">C19*E20*F19*T20*U19</f>
        <v>1132.8220744895536</v>
      </c>
      <c r="W20" s="598"/>
      <c r="X20" s="598"/>
      <c r="Y20" s="598"/>
      <c r="Z20" s="595"/>
      <c r="AA20" s="66"/>
    </row>
    <row r="21" spans="1:27" ht="15" customHeight="1">
      <c r="A21" s="604"/>
      <c r="B21" s="588" t="s">
        <v>52</v>
      </c>
      <c r="C21" s="586">
        <f>'ｼｰﾄNO.3（表-3）59頁'!$F$30</f>
        <v>9</v>
      </c>
      <c r="D21" s="216" t="s">
        <v>65</v>
      </c>
      <c r="E21" s="342">
        <f>'ｼｰﾄNO.4（表-4）60頁'!K20</f>
        <v>158.65</v>
      </c>
      <c r="F21" s="590">
        <f>'ｼｰﾄNO.4（表-4）60頁'!C20/1000</f>
        <v>0.84799999999999998</v>
      </c>
      <c r="G21" s="590">
        <f>'ｼｰﾄNO.4（表-4）60頁'!C20/1000/('ｼｰﾄNO.4（表-4）60頁'!H20/3600)</f>
        <v>27.752727272727274</v>
      </c>
      <c r="H21" s="219">
        <f>-2.71095565/G21-0.09453616*G21+0.00089493*G21^2+3.15403637</f>
        <v>1.1220051084994243</v>
      </c>
      <c r="I21" s="592">
        <v>10000</v>
      </c>
      <c r="J21" s="343">
        <f t="shared" ref="J21" si="84">C21*E21*F21*H21/1000000*I21</f>
        <v>13.585426350569257</v>
      </c>
      <c r="K21" s="219">
        <f t="shared" ref="K21" si="85">1501.20185/G21-2.40935*G21+0.02115*G21^2+174.47635</f>
        <v>177.99238771086846</v>
      </c>
      <c r="L21" s="592">
        <v>2891</v>
      </c>
      <c r="M21" s="343">
        <f t="shared" ref="M21" si="86">C21*E21*F21*K21/1000000*L21</f>
        <v>623.0572570462441</v>
      </c>
      <c r="N21" s="219">
        <f>-0.25063622/G21-0.00657231*G21+0.00005332*G21^2+0.29056757</f>
        <v>0.14020479834032479</v>
      </c>
      <c r="O21" s="592">
        <v>840100</v>
      </c>
      <c r="P21" s="343">
        <f t="shared" ref="P21" si="87">C21*E21*F21*N21/1000000*O21</f>
        <v>142.6173294602321</v>
      </c>
      <c r="Q21" s="219">
        <f>0.093055673/G21-0.0002682273*G21+0.00000218*G21^2+0.0173678037</f>
        <v>1.4955858884601478E-2</v>
      </c>
      <c r="R21" s="592">
        <v>482200</v>
      </c>
      <c r="S21" s="343">
        <f t="shared" ref="S21" si="88">C21*E21*F21*Q21/1000000*R21</f>
        <v>8.7320658654652625</v>
      </c>
      <c r="T21" s="219">
        <f t="shared" ref="T21" si="89">0.630901162/G21-0.001006579*G21+0.000008915*G21^2+0.0072170055</f>
        <v>8.8810925083286883E-3</v>
      </c>
      <c r="U21" s="592">
        <v>160</v>
      </c>
      <c r="V21" s="343">
        <f t="shared" ref="V21" si="90">C21*E21*F21*T21*U21</f>
        <v>1720.5401618301628</v>
      </c>
      <c r="W21" s="598"/>
      <c r="X21" s="598"/>
      <c r="Y21" s="598"/>
      <c r="Z21" s="595"/>
      <c r="AA21" s="66"/>
    </row>
    <row r="22" spans="1:27" ht="15" customHeight="1">
      <c r="A22" s="604"/>
      <c r="B22" s="589"/>
      <c r="C22" s="587"/>
      <c r="D22" s="217" t="s">
        <v>66</v>
      </c>
      <c r="E22" s="344">
        <f>'ｼｰﾄNO.4（表-4）60頁'!K21</f>
        <v>8.35</v>
      </c>
      <c r="F22" s="591"/>
      <c r="G22" s="591"/>
      <c r="H22" s="218">
        <f>12.28697452/G21-0.05907844*G21+0.00051753*G21^2+2.69979197</f>
        <v>1.9015432666737011</v>
      </c>
      <c r="I22" s="593"/>
      <c r="J22" s="345">
        <f t="shared" ref="J22" si="91">C21*E22*F21*H22/1000000*I21</f>
        <v>1.2118002806396826</v>
      </c>
      <c r="K22" s="218">
        <f t="shared" ref="K22" si="92">908.52069/G21-23.49889*G21+0.18396*G21^2+1364.81344</f>
        <v>887.07996534181075</v>
      </c>
      <c r="L22" s="593"/>
      <c r="M22" s="345">
        <f t="shared" ref="M22" si="93">C21*E22*F21*K22/1000000*L21</f>
        <v>163.43147476395285</v>
      </c>
      <c r="N22" s="218">
        <f>9.45345681/G21-0.14325844*G21+0.00124097*G21^2+5.98054622</f>
        <v>3.3011777457107159</v>
      </c>
      <c r="O22" s="593"/>
      <c r="P22" s="345">
        <f t="shared" ref="P22" si="94">C21*E22*F21*N22/1000000*O21</f>
        <v>176.73588160806659</v>
      </c>
      <c r="Q22" s="218">
        <f>0.6037810576/G21-0.0052863845*G21+0.000423961*G21^2+0.3189943526</f>
        <v>0.52057914610079359</v>
      </c>
      <c r="R22" s="593"/>
      <c r="S22" s="345">
        <f t="shared" ref="S22" si="95">C21*E22*F21*Q22/1000000*R21</f>
        <v>15.997009765500021</v>
      </c>
      <c r="T22" s="218">
        <f t="shared" ref="T22" si="96">0.2877659/G21-0.008903887*G21+0.000069093*G21^2+0.516185391</f>
        <v>0.33266355369950334</v>
      </c>
      <c r="U22" s="593"/>
      <c r="V22" s="345">
        <f t="shared" ref="V22" si="97">C21*E22*F21*T22*U21</f>
        <v>3391.9546910910376</v>
      </c>
      <c r="W22" s="598"/>
      <c r="X22" s="598"/>
      <c r="Y22" s="598"/>
      <c r="Z22" s="595"/>
      <c r="AA22" s="66"/>
    </row>
    <row r="23" spans="1:27" ht="15" customHeight="1">
      <c r="A23" s="604"/>
      <c r="B23" s="588" t="s">
        <v>53</v>
      </c>
      <c r="C23" s="586">
        <f>'ｼｰﾄNO.3（表-3）59頁'!$F$30</f>
        <v>9</v>
      </c>
      <c r="D23" s="216" t="s">
        <v>65</v>
      </c>
      <c r="E23" s="342">
        <f>'ｼｰﾄNO.4（表-4）60頁'!K22</f>
        <v>738.15</v>
      </c>
      <c r="F23" s="590">
        <f>'ｼｰﾄNO.4（表-4）60頁'!C22/1000</f>
        <v>0.61699999999999999</v>
      </c>
      <c r="G23" s="590">
        <f>'ｼｰﾄNO.4（表-4）60頁'!C22/1000/('ｼｰﾄNO.4（表-4）60頁'!H22/3600)</f>
        <v>27.087804878048779</v>
      </c>
      <c r="H23" s="219">
        <f>-2.71095565/G23-0.09453616*G23+0.00089493*G23^2+3.15403637</f>
        <v>1.1498331610692509</v>
      </c>
      <c r="I23" s="592">
        <v>10000</v>
      </c>
      <c r="J23" s="343">
        <f t="shared" ref="J23" si="98">C23*E23*F23*H23/1000000*I23</f>
        <v>47.131051285736646</v>
      </c>
      <c r="K23" s="219">
        <f t="shared" ref="K23" si="99">1501.20185/G23-2.40935*G23+0.02115*G23^2+174.47635</f>
        <v>180.15098372041632</v>
      </c>
      <c r="L23" s="592">
        <v>2891</v>
      </c>
      <c r="M23" s="343">
        <f t="shared" ref="M23" si="100">C23*E23*F23*K23/1000000*L23</f>
        <v>2134.7991793275273</v>
      </c>
      <c r="N23" s="219">
        <f>-0.25063622/G23-0.00657231*G23+0.00005332*G23^2+0.29056757</f>
        <v>0.14240889225716619</v>
      </c>
      <c r="O23" s="592">
        <v>840100</v>
      </c>
      <c r="P23" s="343">
        <f t="shared" ref="P23" si="101">C23*E23*F23*N23/1000000*O23</f>
        <v>490.3886280885846</v>
      </c>
      <c r="Q23" s="219">
        <f>0.093055673/G23-0.0002682273*G23+0.00000218*G23^2+0.0173678037</f>
        <v>1.5137022719626959E-2</v>
      </c>
      <c r="R23" s="592">
        <v>482200</v>
      </c>
      <c r="S23" s="343">
        <f t="shared" ref="S23" si="102">C23*E23*F23*Q23/1000000*R23</f>
        <v>29.918510369013028</v>
      </c>
      <c r="T23" s="219">
        <f t="shared" ref="T23" si="103">0.630901162/G23-0.001006579*G23+0.000008915*G23^2+0.0072170055</f>
        <v>9.7833305544376171E-3</v>
      </c>
      <c r="U23" s="592">
        <v>160</v>
      </c>
      <c r="V23" s="343">
        <f t="shared" ref="V23" si="104">C23*E23*F23*T23*U23</f>
        <v>6416.2164699126197</v>
      </c>
      <c r="W23" s="598"/>
      <c r="X23" s="598"/>
      <c r="Y23" s="598"/>
      <c r="Z23" s="595"/>
      <c r="AA23" s="66"/>
    </row>
    <row r="24" spans="1:27" ht="15" customHeight="1">
      <c r="A24" s="604"/>
      <c r="B24" s="589"/>
      <c r="C24" s="587"/>
      <c r="D24" s="217" t="s">
        <v>66</v>
      </c>
      <c r="E24" s="344">
        <f>'ｼｰﾄNO.4（表-4）60頁'!K23</f>
        <v>38.85</v>
      </c>
      <c r="F24" s="591"/>
      <c r="G24" s="591"/>
      <c r="H24" s="218">
        <f>12.28697452/G23-0.05907844*G23+0.00051753*G23^2+2.69979197</f>
        <v>1.9328219392155921</v>
      </c>
      <c r="I24" s="593"/>
      <c r="J24" s="345">
        <f t="shared" ref="J24" si="105">C23*E24*F23*H24/1000000*I23</f>
        <v>4.1697550487583355</v>
      </c>
      <c r="K24" s="218">
        <f t="shared" ref="K24" si="106">908.52069/G23-23.49889*G23+0.18396*G23^2+1364.81344</f>
        <v>896.80043250303515</v>
      </c>
      <c r="L24" s="593"/>
      <c r="M24" s="345">
        <f t="shared" ref="M24" si="107">C23*E24*F23*K24/1000000*L23</f>
        <v>559.3228955982205</v>
      </c>
      <c r="N24" s="218">
        <f>9.45345681/G23-0.14325844*G23+0.00124097*G23^2+5.98054622</f>
        <v>3.3595433546140332</v>
      </c>
      <c r="O24" s="593"/>
      <c r="P24" s="345">
        <f t="shared" ref="P24" si="108">C23*E24*F23*N24/1000000*O23</f>
        <v>608.87750778424038</v>
      </c>
      <c r="Q24" s="218">
        <f>0.6037810576/G23-0.0052863845*G23+0.000423961*G23^2+0.3189943526</f>
        <v>0.50916860825670229</v>
      </c>
      <c r="R24" s="593"/>
      <c r="S24" s="345">
        <f t="shared" ref="S24" si="109">C23*E24*F23*Q24/1000000*R23</f>
        <v>52.967261889381859</v>
      </c>
      <c r="T24" s="218">
        <f t="shared" ref="T24" si="110">0.2877659/G23-0.008903887*G23+0.000069093*G23^2+0.516185391</f>
        <v>0.33631901740188841</v>
      </c>
      <c r="U24" s="593"/>
      <c r="V24" s="345">
        <f t="shared" ref="V24" si="111">C23*E24*F23*T24*U23</f>
        <v>11608.874194580781</v>
      </c>
      <c r="W24" s="598"/>
      <c r="X24" s="598"/>
      <c r="Y24" s="598"/>
      <c r="Z24" s="595"/>
      <c r="AA24" s="66"/>
    </row>
    <row r="25" spans="1:27" ht="15" customHeight="1">
      <c r="A25" s="604"/>
      <c r="B25" s="588" t="s">
        <v>54</v>
      </c>
      <c r="C25" s="586">
        <f>'ｼｰﾄNO.3（表-3）59頁'!$F$30</f>
        <v>9</v>
      </c>
      <c r="D25" s="216" t="s">
        <v>65</v>
      </c>
      <c r="E25" s="342">
        <f>'ｼｰﾄNO.4（表-4）60頁'!K24</f>
        <v>133</v>
      </c>
      <c r="F25" s="590">
        <f>'ｼｰﾄNO.4（表-4）60頁'!C24/1000</f>
        <v>0.82399999999999995</v>
      </c>
      <c r="G25" s="590">
        <f>'ｼｰﾄNO.4（表-4）60頁'!C24/1000/('ｼｰﾄNO.4（表-4）60頁'!H24/3600)</f>
        <v>28.523076923076921</v>
      </c>
      <c r="H25" s="219">
        <f>-2.71095565/G25-0.09453616*G25+0.00089493*G25^2+3.15403637</f>
        <v>1.090614460615126</v>
      </c>
      <c r="I25" s="592">
        <v>10000</v>
      </c>
      <c r="J25" s="343">
        <f t="shared" ref="J25" si="112">C25*E25*F25*H25/1000000*I25</f>
        <v>10.757035797095959</v>
      </c>
      <c r="K25" s="219">
        <f t="shared" ref="K25" si="113">1501.20185/G25-2.40935*G25+0.02115*G25^2+174.47635</f>
        <v>175.59232658424133</v>
      </c>
      <c r="L25" s="592">
        <v>2891</v>
      </c>
      <c r="M25" s="343">
        <f t="shared" ref="M25" si="114">C25*E25*F25*K25/1000000*L25</f>
        <v>500.69699740136997</v>
      </c>
      <c r="N25" s="219">
        <f>-0.25063622/G25-0.00657231*G25+0.00005332*G25^2+0.29056757</f>
        <v>0.1376972627690112</v>
      </c>
      <c r="O25" s="592">
        <v>840100</v>
      </c>
      <c r="P25" s="343">
        <f t="shared" ref="P25" si="115">C25*E25*F25*N25/1000000*O25</f>
        <v>114.0979007322232</v>
      </c>
      <c r="Q25" s="219">
        <f>0.093055673/G25-0.0002682273*G25+0.00000218*G25^2+0.0173678037</f>
        <v>1.4753179146136358E-2</v>
      </c>
      <c r="R25" s="592">
        <v>482200</v>
      </c>
      <c r="S25" s="343">
        <f t="shared" ref="S25" si="116">C25*E25*F25*Q25/1000000*R25</f>
        <v>7.0167206089060548</v>
      </c>
      <c r="T25" s="219">
        <f t="shared" ref="T25" si="117">0.630901162/G25-0.001006579*G25+0.000008915*G25^2+0.0072170055</f>
        <v>7.8781881831032213E-3</v>
      </c>
      <c r="U25" s="592">
        <v>160</v>
      </c>
      <c r="V25" s="343">
        <f t="shared" ref="V25" si="118">C25*E25*F25*T25*U25</f>
        <v>1243.2764150822136</v>
      </c>
      <c r="W25" s="598"/>
      <c r="X25" s="598"/>
      <c r="Y25" s="598"/>
      <c r="Z25" s="595"/>
      <c r="AA25" s="66"/>
    </row>
    <row r="26" spans="1:27" ht="15" customHeight="1">
      <c r="A26" s="604"/>
      <c r="B26" s="589"/>
      <c r="C26" s="587"/>
      <c r="D26" s="217" t="s">
        <v>66</v>
      </c>
      <c r="E26" s="344">
        <f>'ｼｰﾄNO.4（表-4）60頁'!K25</f>
        <v>7</v>
      </c>
      <c r="F26" s="591"/>
      <c r="G26" s="591"/>
      <c r="H26" s="218">
        <f>12.28697452/G25-0.05907844*G25+0.00051753*G25^2+2.69979197</f>
        <v>1.8665109593380467</v>
      </c>
      <c r="I26" s="593"/>
      <c r="J26" s="345">
        <f t="shared" ref="J26" si="119">C25*E26*F25*H26/1000000*I25</f>
        <v>0.96894316921156676</v>
      </c>
      <c r="K26" s="218">
        <f t="shared" ref="K26" si="120">908.52069/G25-23.49889*G25+0.18396*G25^2+1364.81344</f>
        <v>876.06850679459603</v>
      </c>
      <c r="L26" s="593"/>
      <c r="M26" s="345">
        <f t="shared" ref="M26" si="121">C25*E26*F25*K26/1000000*L25</f>
        <v>131.47825192676862</v>
      </c>
      <c r="N26" s="218">
        <f>9.45345681/G25-0.14325844*G25+0.00124097*G25^2+5.98054622</f>
        <v>3.2354174852760047</v>
      </c>
      <c r="O26" s="593"/>
      <c r="P26" s="345">
        <f t="shared" ref="P26" si="122">C25*E26*F25*N26/1000000*O25</f>
        <v>141.10066939559385</v>
      </c>
      <c r="Q26" s="218">
        <f>0.6037810576/G25-0.0052863845*G25+0.000423961*G25^2+0.3189943526</f>
        <v>0.53429878072260373</v>
      </c>
      <c r="R26" s="593"/>
      <c r="S26" s="345">
        <f t="shared" ref="S26" si="123">C25*E26*F25*Q26/1000000*R25</f>
        <v>13.374549126609184</v>
      </c>
      <c r="T26" s="218">
        <f t="shared" ref="T26" si="124">0.2877659/G25-0.008903887*G25+0.000069093*G25^2+0.516185391</f>
        <v>0.32851972708814747</v>
      </c>
      <c r="U26" s="593"/>
      <c r="V26" s="345">
        <f t="shared" ref="V26" si="125">C25*E26*F25*T26*U25</f>
        <v>2728.6585716159857</v>
      </c>
      <c r="W26" s="598"/>
      <c r="X26" s="598"/>
      <c r="Y26" s="598"/>
      <c r="Z26" s="595"/>
      <c r="AA26" s="66"/>
    </row>
    <row r="27" spans="1:27" ht="15" customHeight="1">
      <c r="A27" s="604"/>
      <c r="B27" s="588" t="s">
        <v>55</v>
      </c>
      <c r="C27" s="586">
        <f>'ｼｰﾄNO.3（表-3）59頁'!$F$30</f>
        <v>9</v>
      </c>
      <c r="D27" s="216" t="s">
        <v>65</v>
      </c>
      <c r="E27" s="342">
        <f>'ｼｰﾄNO.4（表-4）60頁'!K26</f>
        <v>47.5</v>
      </c>
      <c r="F27" s="590">
        <f>'ｼｰﾄNO.4（表-4）60頁'!C26/1000</f>
        <v>0.91</v>
      </c>
      <c r="G27" s="590">
        <f>'ｼｰﾄNO.4（表-4）60頁'!C26/1000/('ｼｰﾄNO.4（表-4）60頁'!H26/3600)</f>
        <v>22.90909090909091</v>
      </c>
      <c r="H27" s="219">
        <f>-2.71095565/G27-0.09453616*G27+0.00089493*G27^2+3.15403637</f>
        <v>1.3396464522592815</v>
      </c>
      <c r="I27" s="592">
        <v>10000</v>
      </c>
      <c r="J27" s="343">
        <f t="shared" ref="J27" si="126">C27*E27*F27*H27/1000000*I27</f>
        <v>5.21155961090167</v>
      </c>
      <c r="K27" s="219">
        <f t="shared" ref="K27" si="127">1501.20185/G27-2.40935*G27+0.02115*G27^2+174.47635</f>
        <v>195.90906333956445</v>
      </c>
      <c r="L27" s="592">
        <v>2891</v>
      </c>
      <c r="M27" s="343">
        <f t="shared" ref="M27" si="128">C27*E27*F27*K27/1000000*L27</f>
        <v>220.33329605016377</v>
      </c>
      <c r="N27" s="219">
        <f>-0.25063622/G27-0.00657231*G27+0.00005332*G27^2+0.29056757</f>
        <v>0.15704519892234028</v>
      </c>
      <c r="O27" s="592">
        <v>840100</v>
      </c>
      <c r="P27" s="343">
        <f t="shared" ref="P27" si="129">C27*E27*F27*N27/1000000*O27</f>
        <v>51.325496599892354</v>
      </c>
      <c r="Q27" s="219">
        <f>0.093055673/G27-0.0002682273*G27+0.00000218*G27^2+0.0173678037</f>
        <v>1.6429035733051291E-2</v>
      </c>
      <c r="R27" s="592">
        <v>482200</v>
      </c>
      <c r="S27" s="343">
        <f t="shared" ref="S27" si="130">C27*E27*F27*Q27/1000000*R27</f>
        <v>3.0818875728814445</v>
      </c>
      <c r="T27" s="219">
        <f t="shared" ref="T27" si="131">0.630901162/G27-0.001006579*G27+0.000008915*G27^2+0.0072170055</f>
        <v>1.6375359886921154E-2</v>
      </c>
      <c r="U27" s="592">
        <v>160</v>
      </c>
      <c r="V27" s="343">
        <f t="shared" ref="V27" si="132">C27*E27*F27*T27*U27</f>
        <v>1019.2679008015203</v>
      </c>
      <c r="W27" s="598"/>
      <c r="X27" s="598"/>
      <c r="Y27" s="598"/>
      <c r="Z27" s="595"/>
      <c r="AA27" s="66"/>
    </row>
    <row r="28" spans="1:27" ht="15" customHeight="1">
      <c r="A28" s="604"/>
      <c r="B28" s="589"/>
      <c r="C28" s="587"/>
      <c r="D28" s="217" t="s">
        <v>66</v>
      </c>
      <c r="E28" s="344">
        <f>'ｼｰﾄNO.4（表-4）60頁'!K27</f>
        <v>2.5</v>
      </c>
      <c r="F28" s="591"/>
      <c r="G28" s="591"/>
      <c r="H28" s="218">
        <f>12.28697452/G27-0.05907844*G27+0.00051753*G27^2+2.69979197</f>
        <v>2.154308237381608</v>
      </c>
      <c r="I28" s="593"/>
      <c r="J28" s="345">
        <f t="shared" ref="J28" si="133">C27*E28*F27*H28/1000000*I27</f>
        <v>0.4410946116038843</v>
      </c>
      <c r="K28" s="218">
        <f t="shared" ref="K28" si="134">908.52069/G27-23.49889*G27+0.18396*G27^2+1364.81344</f>
        <v>962.67995495179059</v>
      </c>
      <c r="L28" s="593"/>
      <c r="M28" s="345">
        <f t="shared" ref="M28" si="135">C27*E28*F27*K28/1000000*L27</f>
        <v>56.9841311764512</v>
      </c>
      <c r="N28" s="218">
        <f>9.45345681/G27-0.14325844*G27+0.00124097*G27^2+5.98054622</f>
        <v>3.7625703620867768</v>
      </c>
      <c r="O28" s="593"/>
      <c r="P28" s="345">
        <f t="shared" ref="P28" si="136">C27*E28*F27*N28/1000000*O27</f>
        <v>64.720151520346846</v>
      </c>
      <c r="Q28" s="218">
        <f>0.6037810576/G27-0.0052863845*G27+0.000423961*G27^2+0.3189943526</f>
        <v>0.44674955685638201</v>
      </c>
      <c r="R28" s="593"/>
      <c r="S28" s="345">
        <f t="shared" ref="S28" si="137">C27*E28*F27*Q28/1000000*R27</f>
        <v>4.4107784785731186</v>
      </c>
      <c r="T28" s="218">
        <f t="shared" ref="T28" si="138">0.2877659/G27-0.008903887*G27+0.000069093*G27^2+0.516185391</f>
        <v>0.3610284778462548</v>
      </c>
      <c r="U28" s="593"/>
      <c r="V28" s="345">
        <f t="shared" ref="V28" si="139">C27*E28*F27*T28*U27</f>
        <v>1182.729293424331</v>
      </c>
      <c r="W28" s="598"/>
      <c r="X28" s="598"/>
      <c r="Y28" s="598"/>
      <c r="Z28" s="595"/>
      <c r="AA28" s="66"/>
    </row>
    <row r="29" spans="1:27" ht="15" customHeight="1">
      <c r="A29" s="604"/>
      <c r="B29" s="588" t="s">
        <v>56</v>
      </c>
      <c r="C29" s="586">
        <f>'ｼｰﾄNO.3（表-3）59頁'!$F$30</f>
        <v>9</v>
      </c>
      <c r="D29" s="216" t="s">
        <v>65</v>
      </c>
      <c r="E29" s="342">
        <f>'ｼｰﾄNO.4（表-4）60頁'!K28</f>
        <v>743.84999999999991</v>
      </c>
      <c r="F29" s="590">
        <f>'ｼｰﾄNO.4（表-4）60頁'!C28/1000</f>
        <v>0.61699999999999999</v>
      </c>
      <c r="G29" s="590">
        <f>'ｼｰﾄNO.4（表-4）60頁'!C28/1000/('ｼｰﾄNO.4（表-4）60頁'!H28/3600)</f>
        <v>27.087804878048779</v>
      </c>
      <c r="H29" s="219">
        <f>-2.71095565/G29-0.09453616*G29+0.00089493*G29^2+3.15403637</f>
        <v>1.1498331610692509</v>
      </c>
      <c r="I29" s="592">
        <v>10000</v>
      </c>
      <c r="J29" s="343">
        <f t="shared" ref="J29" si="140">C29*E29*F29*H29/1000000*I29</f>
        <v>47.494997627711449</v>
      </c>
      <c r="K29" s="219">
        <f t="shared" ref="K29" si="141">1501.20185/G29-2.40935*G29+0.02115*G29^2+174.47635</f>
        <v>180.15098372041632</v>
      </c>
      <c r="L29" s="592">
        <v>2891</v>
      </c>
      <c r="M29" s="343">
        <f t="shared" ref="M29" si="142">C29*E29*F29*K29/1000000*L29</f>
        <v>2151.2841150752306</v>
      </c>
      <c r="N29" s="219">
        <f>-0.25063622/G29-0.00657231*G29+0.00005332*G29^2+0.29056757</f>
        <v>0.14240889225716619</v>
      </c>
      <c r="O29" s="592">
        <v>840100</v>
      </c>
      <c r="P29" s="343">
        <f t="shared" ref="P29" si="143">C29*E29*F29*N29/1000000*O29</f>
        <v>494.17541286146945</v>
      </c>
      <c r="Q29" s="219">
        <f>0.093055673/G29-0.0002682273*G29+0.00000218*G29^2+0.0173678037</f>
        <v>1.5137022719626959E-2</v>
      </c>
      <c r="R29" s="592">
        <v>482200</v>
      </c>
      <c r="S29" s="343">
        <f t="shared" ref="S29" si="144">C29*E29*F29*Q29/1000000*R29</f>
        <v>30.149541337113515</v>
      </c>
      <c r="T29" s="219">
        <f t="shared" ref="T29" si="145">0.630901162/G29-0.001006579*G29+0.000008915*G29^2+0.0072170055</f>
        <v>9.7833305544376171E-3</v>
      </c>
      <c r="U29" s="592">
        <v>160</v>
      </c>
      <c r="V29" s="343">
        <f t="shared" ref="V29" si="146">C29*E29*F29*T29*U29</f>
        <v>6465.7625430393591</v>
      </c>
      <c r="W29" s="598"/>
      <c r="X29" s="598"/>
      <c r="Y29" s="598"/>
      <c r="Z29" s="595"/>
      <c r="AA29" s="66"/>
    </row>
    <row r="30" spans="1:27" ht="15" customHeight="1">
      <c r="A30" s="605"/>
      <c r="B30" s="589"/>
      <c r="C30" s="587"/>
      <c r="D30" s="217" t="s">
        <v>66</v>
      </c>
      <c r="E30" s="344">
        <f>'ｼｰﾄNO.4（表-4）60頁'!K29</f>
        <v>39.150000000000006</v>
      </c>
      <c r="F30" s="591"/>
      <c r="G30" s="591"/>
      <c r="H30" s="218">
        <f>12.28697452/G29-0.05907844*G29+0.00051753*G29^2+2.69979197</f>
        <v>1.9328219392155921</v>
      </c>
      <c r="I30" s="593"/>
      <c r="J30" s="345">
        <f t="shared" ref="J30" si="147">C29*E30*F29*H30/1000000*I29</f>
        <v>4.2019539294437278</v>
      </c>
      <c r="K30" s="218">
        <f t="shared" ref="K30" si="148">908.52069/G29-23.49889*G29+0.18396*G29^2+1364.81344</f>
        <v>896.80043250303515</v>
      </c>
      <c r="L30" s="593"/>
      <c r="M30" s="345">
        <f t="shared" ref="M30" si="149">C29*E30*F29*K30/1000000*L29</f>
        <v>563.64199131712564</v>
      </c>
      <c r="N30" s="218">
        <f>9.45345681/G29-0.14325844*G29+0.00124097*G29^2+5.98054622</f>
        <v>3.3595433546140332</v>
      </c>
      <c r="O30" s="593"/>
      <c r="P30" s="345">
        <f t="shared" ref="P30" si="150">C29*E30*F29*N30/1000000*O29</f>
        <v>613.57926460110696</v>
      </c>
      <c r="Q30" s="218">
        <f>0.6037810576/G29-0.0052863845*G29+0.000423961*G29^2+0.3189943526</f>
        <v>0.50916860825670229</v>
      </c>
      <c r="R30" s="593"/>
      <c r="S30" s="345">
        <f t="shared" ref="S30" si="151">C29*E30*F29*Q30/1000000*R29</f>
        <v>53.376275494705276</v>
      </c>
      <c r="T30" s="218">
        <f t="shared" ref="T30" si="152">0.2877659/G29-0.008903887*G29+0.000069093*G29^2+0.516185391</f>
        <v>0.33631901740188841</v>
      </c>
      <c r="U30" s="593"/>
      <c r="V30" s="345">
        <f t="shared" ref="V30" si="153">C29*E30*F29*T30*U29</f>
        <v>11698.51801075515</v>
      </c>
      <c r="W30" s="599"/>
      <c r="X30" s="599"/>
      <c r="Y30" s="599"/>
      <c r="Z30" s="595"/>
      <c r="AA30" s="66"/>
    </row>
    <row r="31" spans="1:27" ht="15" customHeight="1">
      <c r="A31" s="603" t="s">
        <v>928</v>
      </c>
      <c r="B31" s="588" t="s">
        <v>45</v>
      </c>
      <c r="C31" s="586">
        <f>'ｼｰﾄNO.3（表-3）59頁'!$F$30</f>
        <v>9</v>
      </c>
      <c r="D31" s="216" t="s">
        <v>65</v>
      </c>
      <c r="E31" s="342">
        <f>'ｼｰﾄNO.4（表-4）60頁'!K33</f>
        <v>772.34999999999991</v>
      </c>
      <c r="F31" s="590">
        <f>'ｼｰﾄNO.4（表-4）60頁'!C33/1000</f>
        <v>1.054</v>
      </c>
      <c r="G31" s="590">
        <f>'ｼｰﾄNO.4（表-4）60頁'!C33/1000/('ｼｰﾄNO.4（表-4）60頁'!H33/3600)</f>
        <v>29.643750000000001</v>
      </c>
      <c r="H31" s="219">
        <f>-2.71095565/G31-0.09453616*G31+0.00089493*G31^2+3.15403637</f>
        <v>1.0466003564631281</v>
      </c>
      <c r="I31" s="592">
        <v>10000</v>
      </c>
      <c r="J31" s="343">
        <f>C31*E31*F31*H31/1000000*I31</f>
        <v>76.679301754914221</v>
      </c>
      <c r="K31" s="219">
        <f>1501.20185/G31-2.40935*G31+0.02115*G31^2+174.47635</f>
        <v>172.28121255158959</v>
      </c>
      <c r="L31" s="592">
        <v>2891</v>
      </c>
      <c r="M31" s="343">
        <f>C31*E31*F31*K31/1000000*L31</f>
        <v>3649.0791427542326</v>
      </c>
      <c r="N31" s="219">
        <f>-0.25063622/G31-0.00657231*G31+0.00005332*G31^2+0.29056757</f>
        <v>0.13413976437914132</v>
      </c>
      <c r="O31" s="592">
        <v>840100</v>
      </c>
      <c r="P31" s="343">
        <f>C31*E31*F31*N31/1000000*O31</f>
        <v>825.63062738522092</v>
      </c>
      <c r="Q31" s="219">
        <f>0.093055673/G31-0.0002682273*G31+0.00000218*G31^2+0.0173678037</f>
        <v>1.4471352818974903E-2</v>
      </c>
      <c r="R31" s="592">
        <v>482200</v>
      </c>
      <c r="S31" s="343">
        <f>C31*E31*F31*Q31/1000000*R31</f>
        <v>51.12503392653209</v>
      </c>
      <c r="T31" s="219">
        <f>0.630901162/G31-0.001006579*G31+0.000008915*G31^2+0.0072170055</f>
        <v>6.4950742292543343E-3</v>
      </c>
      <c r="U31" s="592">
        <v>160</v>
      </c>
      <c r="V31" s="343">
        <f>C31*E31*F31*T31*U31</f>
        <v>7613.7983889648076</v>
      </c>
      <c r="W31" s="597">
        <f>SUM(J31:J54)+SUM(M31:M54)+SUM(P31:P54)+SUM(S31:S54)+SUM(V31:V54)</f>
        <v>140897.94643641738</v>
      </c>
      <c r="X31" s="597">
        <f>'ｼｰﾄNO.3（表-3）59頁'!F36</f>
        <v>12</v>
      </c>
      <c r="Y31" s="597">
        <f>W31*X31</f>
        <v>1690775.3572370084</v>
      </c>
      <c r="Z31" s="595"/>
      <c r="AA31" s="66"/>
    </row>
    <row r="32" spans="1:27" ht="15" customHeight="1">
      <c r="A32" s="604"/>
      <c r="B32" s="589"/>
      <c r="C32" s="587"/>
      <c r="D32" s="217" t="s">
        <v>66</v>
      </c>
      <c r="E32" s="344">
        <f>'ｼｰﾄNO.4（表-4）60頁'!K34</f>
        <v>40.650000000000006</v>
      </c>
      <c r="F32" s="591"/>
      <c r="G32" s="591"/>
      <c r="H32" s="218">
        <f>12.28697452/G31-0.05907844*G31+0.00051753*G31^2+2.69979197</f>
        <v>1.8177538030136606</v>
      </c>
      <c r="I32" s="593"/>
      <c r="J32" s="345">
        <f>C31*E32*F31*H32/1000000*I31</f>
        <v>7.0093659118950544</v>
      </c>
      <c r="K32" s="218">
        <f>908.52069/G31-23.49889*G31+0.18396*G31^2+1364.81344</f>
        <v>860.52138928887075</v>
      </c>
      <c r="L32" s="593"/>
      <c r="M32" s="345">
        <f>C31*E32*F31*K32/1000000*L31</f>
        <v>959.29776275628376</v>
      </c>
      <c r="N32" s="218">
        <f>9.45345681/G31-0.14325844*G31+0.00124097*G31^2+5.98054622</f>
        <v>3.1432357925564749</v>
      </c>
      <c r="O32" s="593"/>
      <c r="P32" s="345">
        <f>C31*E32*F31*N32/1000000*O31</f>
        <v>1018.2434290554703</v>
      </c>
      <c r="Q32" s="218">
        <f>0.6037810576/G31-0.0052863845*G31+0.000423961*G31^2+0.3189943526</f>
        <v>0.55521053643067186</v>
      </c>
      <c r="R32" s="593"/>
      <c r="S32" s="345">
        <f>C31*E32*F31*Q32/1000000*R31</f>
        <v>103.235383532017</v>
      </c>
      <c r="T32" s="218">
        <f>0.2877659/G31-0.008903887*G31+0.000069093*G31^2+0.516185391</f>
        <v>0.32266386964951294</v>
      </c>
      <c r="U32" s="593"/>
      <c r="V32" s="345">
        <f>C31*E32*F31*T32*U31</f>
        <v>19907.374696589301</v>
      </c>
      <c r="W32" s="598"/>
      <c r="X32" s="598"/>
      <c r="Y32" s="598"/>
      <c r="Z32" s="595"/>
      <c r="AA32" s="66"/>
    </row>
    <row r="33" spans="1:27" ht="15" customHeight="1">
      <c r="A33" s="604"/>
      <c r="B33" s="588" t="s">
        <v>46</v>
      </c>
      <c r="C33" s="586">
        <f>'ｼｰﾄNO.3（表-3）59頁'!$F$30</f>
        <v>9</v>
      </c>
      <c r="D33" s="216" t="s">
        <v>65</v>
      </c>
      <c r="E33" s="342">
        <f>'ｼｰﾄNO.4（表-4）60頁'!K35</f>
        <v>148.19999999999999</v>
      </c>
      <c r="F33" s="590">
        <f>'ｼｰﾄNO.4（表-4）60頁'!C35/1000</f>
        <v>0.76100000000000001</v>
      </c>
      <c r="G33" s="590">
        <f>'ｼｰﾄNO.4（表-4）60頁'!C35/1000/('ｼｰﾄNO.4（表-4）60頁'!H35/3600)</f>
        <v>27.955102040816328</v>
      </c>
      <c r="H33" s="219">
        <f>-2.71095565/G33-0.09453616*G33+0.00089493*G33^2+3.15403637</f>
        <v>1.1136698404962537</v>
      </c>
      <c r="I33" s="592">
        <v>10000</v>
      </c>
      <c r="J33" s="343">
        <f t="shared" ref="J33" si="154">C33*E33*F33*H33/1000000*I33</f>
        <v>11.303991661062202</v>
      </c>
      <c r="K33" s="219">
        <f t="shared" ref="K33" si="155">1501.20185/G33-2.40935*G33+0.02115*G33^2+174.47635</f>
        <v>177.35165078551574</v>
      </c>
      <c r="L33" s="592">
        <v>2891</v>
      </c>
      <c r="M33" s="343">
        <f t="shared" ref="M33" si="156">C33*E33*F33*K33/1000000*L33</f>
        <v>520.42565413220871</v>
      </c>
      <c r="N33" s="219">
        <f>-0.25063622/G33-0.00657231*G33+0.00005332*G33^2+0.29056757</f>
        <v>0.13954122906549798</v>
      </c>
      <c r="O33" s="592">
        <v>840100</v>
      </c>
      <c r="P33" s="343">
        <f t="shared" ref="P33" si="157">C33*E33*F33*N33/1000000*O33</f>
        <v>118.98957091918027</v>
      </c>
      <c r="Q33" s="219">
        <f>0.093055673/G33-0.0002682273*G33+0.00000218*G33^2+0.0173678037</f>
        <v>1.4901879955931608E-2</v>
      </c>
      <c r="R33" s="592">
        <v>482200</v>
      </c>
      <c r="S33" s="343">
        <f t="shared" ref="S33" si="158">C33*E33*F33*Q33/1000000*R33</f>
        <v>7.2936284604374961</v>
      </c>
      <c r="T33" s="219">
        <f t="shared" ref="T33" si="159">0.630901162/G33-0.001006579*G33+0.000008915*G33^2+0.0072170055</f>
        <v>8.6133226666943175E-3</v>
      </c>
      <c r="U33" s="592">
        <v>160</v>
      </c>
      <c r="V33" s="343">
        <f t="shared" ref="V33" si="160">C33*E33*F33*T33*U33</f>
        <v>1398.8336443406185</v>
      </c>
      <c r="W33" s="598"/>
      <c r="X33" s="598"/>
      <c r="Y33" s="598"/>
      <c r="Z33" s="595"/>
      <c r="AA33" s="66"/>
    </row>
    <row r="34" spans="1:27" ht="15" customHeight="1">
      <c r="A34" s="604"/>
      <c r="B34" s="589"/>
      <c r="C34" s="587"/>
      <c r="D34" s="217" t="s">
        <v>66</v>
      </c>
      <c r="E34" s="344">
        <f>'ｼｰﾄNO.4（表-4）60頁'!K36</f>
        <v>7.8000000000000007</v>
      </c>
      <c r="F34" s="591"/>
      <c r="G34" s="591"/>
      <c r="H34" s="218">
        <f>12.28697452/G33-0.05907844*G33+0.00051753*G33^2+2.69979197</f>
        <v>1.8922167930969032</v>
      </c>
      <c r="I34" s="593"/>
      <c r="J34" s="345">
        <f t="shared" ref="J34" si="161">C33*E34*F33*H34/1000000*I33</f>
        <v>1.0108638396418139</v>
      </c>
      <c r="K34" s="218">
        <f t="shared" ref="K34" si="162">908.52069/G33-23.49889*G33+0.18396*G33^2+1364.81344</f>
        <v>884.1613350837506</v>
      </c>
      <c r="L34" s="593"/>
      <c r="M34" s="345">
        <f t="shared" ref="M34" si="163">C33*E34*F33*K34/1000000*L33</f>
        <v>136.55304206474631</v>
      </c>
      <c r="N34" s="218">
        <f>9.45345681/G33-0.14325844*G33+0.00124097*G33^2+5.98054622</f>
        <v>3.2837104457456512</v>
      </c>
      <c r="O34" s="593"/>
      <c r="P34" s="345">
        <f t="shared" ref="P34" si="164">C33*E34*F33*N34/1000000*O33</f>
        <v>147.37289269037666</v>
      </c>
      <c r="Q34" s="218">
        <f>0.6037810576/G33-0.0052863845*G33+0.000423961*G33^2+0.3189943526</f>
        <v>0.52413149597119757</v>
      </c>
      <c r="R34" s="593"/>
      <c r="S34" s="345">
        <f t="shared" ref="S34" si="165">C33*E34*F33*Q34/1000000*R33</f>
        <v>13.501724216683765</v>
      </c>
      <c r="T34" s="218">
        <f t="shared" ref="T34" si="166">0.2877659/G33-0.008903887*G33+0.000069093*G33^2+0.516185391</f>
        <v>0.33156551285231084</v>
      </c>
      <c r="U34" s="593"/>
      <c r="V34" s="345">
        <f t="shared" ref="V34" si="167">C33*E34*F33*T34*U33</f>
        <v>2834.0734625117957</v>
      </c>
      <c r="W34" s="598"/>
      <c r="X34" s="598"/>
      <c r="Y34" s="598"/>
      <c r="Z34" s="595"/>
      <c r="AA34" s="66"/>
    </row>
    <row r="35" spans="1:27" ht="15" customHeight="1">
      <c r="A35" s="604"/>
      <c r="B35" s="588" t="s">
        <v>47</v>
      </c>
      <c r="C35" s="586">
        <f>'ｼｰﾄNO.3（表-3）59頁'!$F$30</f>
        <v>9</v>
      </c>
      <c r="D35" s="216" t="s">
        <v>65</v>
      </c>
      <c r="E35" s="342">
        <f>'ｼｰﾄNO.4（表-4）60頁'!K37</f>
        <v>41.8</v>
      </c>
      <c r="F35" s="590">
        <f>'ｼｰﾄNO.4（表-4）60頁'!C37/1000</f>
        <v>0.82399999999999995</v>
      </c>
      <c r="G35" s="590">
        <f>'ｼｰﾄNO.4（表-4）60頁'!C37/1000/('ｼｰﾄNO.4（表-4）60頁'!H37/3600)</f>
        <v>24.927731092436975</v>
      </c>
      <c r="H35" s="219">
        <f>-2.71095565/G35-0.09453616*G35+0.00089493*G35^2+3.15403637</f>
        <v>1.2448139350987362</v>
      </c>
      <c r="I35" s="592">
        <v>10000</v>
      </c>
      <c r="J35" s="343">
        <f t="shared" ref="J35" si="168">C35*E35*F35*H35/1000000*I35</f>
        <v>3.8587837796453504</v>
      </c>
      <c r="K35" s="219">
        <f t="shared" ref="K35" si="169">1501.20185/G35-2.40935*G35+0.02115*G35^2+174.47635</f>
        <v>187.78131877798023</v>
      </c>
      <c r="L35" s="592">
        <v>2891</v>
      </c>
      <c r="M35" s="343">
        <f t="shared" ref="M35" si="170">C35*E35*F35*K35/1000000*L35</f>
        <v>168.28541549313667</v>
      </c>
      <c r="N35" s="219">
        <f>-0.25063622/G35-0.00657231*G35+0.00005332*G35^2+0.29056757</f>
        <v>0.14981288928616346</v>
      </c>
      <c r="O35" s="592">
        <v>840100</v>
      </c>
      <c r="P35" s="343">
        <f t="shared" ref="P35" si="171">C35*E35*F35*N35/1000000*O35</f>
        <v>39.014510962231988</v>
      </c>
      <c r="Q35" s="219">
        <f>0.093055673/G35-0.0002682273*G35+0.00000218*G35^2+0.0173678037</f>
        <v>1.5769157934508494E-2</v>
      </c>
      <c r="R35" s="592">
        <v>482200</v>
      </c>
      <c r="S35" s="343">
        <f t="shared" ref="S35" si="172">C35*E35*F35*Q35/1000000*R35</f>
        <v>2.3571201028210909</v>
      </c>
      <c r="T35" s="219">
        <f t="shared" ref="T35" si="173">0.630901162/G35-0.001006579*G35+0.000008915*G35^2+0.0072170055</f>
        <v>1.2974191796488203E-2</v>
      </c>
      <c r="U35" s="592">
        <v>160</v>
      </c>
      <c r="V35" s="343">
        <f t="shared" ref="V35" si="174">C35*E35*F35*T35*U35</f>
        <v>643.49666335411553</v>
      </c>
      <c r="W35" s="598"/>
      <c r="X35" s="598"/>
      <c r="Y35" s="598"/>
      <c r="Z35" s="595"/>
      <c r="AA35" s="66"/>
    </row>
    <row r="36" spans="1:27" ht="15" customHeight="1">
      <c r="A36" s="604"/>
      <c r="B36" s="589"/>
      <c r="C36" s="587"/>
      <c r="D36" s="217" t="s">
        <v>66</v>
      </c>
      <c r="E36" s="344">
        <f>'ｼｰﾄNO.4（表-4）60頁'!K38</f>
        <v>2.2000000000000002</v>
      </c>
      <c r="F36" s="591"/>
      <c r="G36" s="591"/>
      <c r="H36" s="218">
        <f>12.28697452/G35-0.05907844*G35+0.00051753*G35^2+2.69979197</f>
        <v>2.0415932365843594</v>
      </c>
      <c r="I36" s="593"/>
      <c r="J36" s="345">
        <f t="shared" ref="J36" si="175">C35*E36*F35*H36/1000000*I35</f>
        <v>0.33309001973521141</v>
      </c>
      <c r="K36" s="218">
        <f t="shared" ref="K36" si="176">908.52069/G35-23.49889*G35+0.18396*G35^2+1364.81344</f>
        <v>929.79684512079211</v>
      </c>
      <c r="L36" s="593"/>
      <c r="M36" s="345">
        <f t="shared" ref="M36" si="177">C35*E36*F35*K36/1000000*L35</f>
        <v>43.855953920405135</v>
      </c>
      <c r="N36" s="218">
        <f>9.45345681/G35-0.14325844*G35+0.00124097*G35^2+5.98054622</f>
        <v>3.5598014520360097</v>
      </c>
      <c r="O36" s="593"/>
      <c r="P36" s="345">
        <f t="shared" ref="P36" si="178">C35*E36*F35*N36/1000000*O35</f>
        <v>48.792060913481663</v>
      </c>
      <c r="Q36" s="218">
        <f>0.6037810576/G35-0.0052863845*G35+0.000423961*G35^2+0.3189943526</f>
        <v>0.47488392074238339</v>
      </c>
      <c r="R36" s="593"/>
      <c r="S36" s="345">
        <f t="shared" ref="S36" si="179">C35*E36*F35*Q36/1000000*R35</f>
        <v>3.736001766490276</v>
      </c>
      <c r="T36" s="218">
        <f t="shared" ref="T36" si="180">0.2877659/G35-0.008903887*G35+0.000069093*G35^2+0.516185391</f>
        <v>0.34870951917435056</v>
      </c>
      <c r="U36" s="593"/>
      <c r="V36" s="345">
        <f t="shared" ref="V36" si="181">C35*E36*F35*T36*U35</f>
        <v>910.2824875573383</v>
      </c>
      <c r="W36" s="598"/>
      <c r="X36" s="598"/>
      <c r="Y36" s="598"/>
      <c r="Z36" s="595"/>
      <c r="AA36" s="66"/>
    </row>
    <row r="37" spans="1:27" ht="15" customHeight="1">
      <c r="A37" s="604"/>
      <c r="B37" s="588" t="s">
        <v>48</v>
      </c>
      <c r="C37" s="586">
        <f>'ｼｰﾄNO.3（表-3）59頁'!$F$30</f>
        <v>9</v>
      </c>
      <c r="D37" s="216" t="s">
        <v>65</v>
      </c>
      <c r="E37" s="342">
        <f>'ｼｰﾄNO.4（表-4）60頁'!K39</f>
        <v>753.34999999999991</v>
      </c>
      <c r="F37" s="590">
        <f>'ｼｰﾄNO.4（表-4）60頁'!C39/1000</f>
        <v>1.054</v>
      </c>
      <c r="G37" s="590">
        <f>'ｼｰﾄNO.4（表-4）60頁'!C39/1000/('ｼｰﾄNO.4（表-4）60頁'!H39/3600)</f>
        <v>30.6</v>
      </c>
      <c r="H37" s="219">
        <f>-2.71095565/G37-0.09453616*G37+0.00089493*G37^2+3.15403637</f>
        <v>1.0106132069045755</v>
      </c>
      <c r="I37" s="592">
        <v>10000</v>
      </c>
      <c r="J37" s="343">
        <f t="shared" ref="J37" si="182">C37*E37*F37*H37/1000000*I37</f>
        <v>72.221230280729358</v>
      </c>
      <c r="K37" s="219">
        <f t="shared" ref="K37" si="183">1501.20185/G37-2.40935*G37+0.02115*G37^2+174.47635</f>
        <v>169.61313798692811</v>
      </c>
      <c r="L37" s="592">
        <v>2891</v>
      </c>
      <c r="M37" s="343">
        <f t="shared" ref="M37" si="184">C37*E37*F37*K37/1000000*L37</f>
        <v>3504.1887711767467</v>
      </c>
      <c r="N37" s="219">
        <f>-0.25063622/G37-0.00657231*G37+0.00005332*G37^2+0.29056757</f>
        <v>0.13119087305620916</v>
      </c>
      <c r="O37" s="592">
        <v>840100</v>
      </c>
      <c r="P37" s="343">
        <f t="shared" ref="P37" si="185">C37*E37*F37*N37/1000000*O37</f>
        <v>787.61598160113681</v>
      </c>
      <c r="Q37" s="219">
        <f>0.093055673/G37-0.0002682273*G37+0.00000218*G37^2+0.0173678037</f>
        <v>1.4242348185359476E-2</v>
      </c>
      <c r="R37" s="592">
        <v>482200</v>
      </c>
      <c r="S37" s="343">
        <f t="shared" ref="S37" si="186">C37*E37*F37*Q37/1000000*R37</f>
        <v>49.078210364257536</v>
      </c>
      <c r="T37" s="219">
        <f t="shared" ref="T37" si="187">0.630901162/G37-0.001006579*G37+0.000008915*G37^2+0.0072170055</f>
        <v>5.3810225326797346E-3</v>
      </c>
      <c r="U37" s="592">
        <v>160</v>
      </c>
      <c r="V37" s="343">
        <f t="shared" ref="V37" si="188">C37*E37*F37*T37*U37</f>
        <v>6152.6853569433151</v>
      </c>
      <c r="W37" s="598"/>
      <c r="X37" s="598"/>
      <c r="Y37" s="598"/>
      <c r="Z37" s="595"/>
      <c r="AA37" s="66"/>
    </row>
    <row r="38" spans="1:27" ht="15" customHeight="1">
      <c r="A38" s="604"/>
      <c r="B38" s="589"/>
      <c r="C38" s="587"/>
      <c r="D38" s="217" t="s">
        <v>66</v>
      </c>
      <c r="E38" s="344">
        <f>'ｼｰﾄNO.4（表-4）60頁'!K40</f>
        <v>39.650000000000006</v>
      </c>
      <c r="F38" s="591"/>
      <c r="G38" s="591"/>
      <c r="H38" s="218">
        <f>12.28697452/G37-0.05907844*G37+0.00051753*G37^2+2.69979197</f>
        <v>1.7781212118326797</v>
      </c>
      <c r="I38" s="593"/>
      <c r="J38" s="345">
        <f t="shared" ref="J38" si="189">C37*E38*F37*H38/1000000*I37</f>
        <v>6.6878677238238646</v>
      </c>
      <c r="K38" s="218">
        <f t="shared" ref="K38" si="190">908.52069/G37-23.49889*G37+0.18396*G37^2+1364.81344</f>
        <v>847.69041022745091</v>
      </c>
      <c r="L38" s="593"/>
      <c r="M38" s="345">
        <f t="shared" ref="M38" si="191">C37*E38*F37*K38/1000000*L37</f>
        <v>921.74687465362149</v>
      </c>
      <c r="N38" s="218">
        <f>9.45345681/G37-0.14325844*G37+0.00124097*G37^2+5.98054622</f>
        <v>3.0677691222588237</v>
      </c>
      <c r="O38" s="593"/>
      <c r="P38" s="345">
        <f t="shared" ref="P38" si="192">C37*E38*F37*N38/1000000*O37</f>
        <v>969.3485579106931</v>
      </c>
      <c r="Q38" s="218">
        <f>0.6037810576/G37-0.0052863845*G37+0.000423961*G37^2+0.3189943526</f>
        <v>0.57394251597111112</v>
      </c>
      <c r="R38" s="593"/>
      <c r="S38" s="345">
        <f t="shared" ref="S38" si="193">C37*E38*F37*Q38/1000000*R37</f>
        <v>104.09309346591348</v>
      </c>
      <c r="T38" s="218">
        <f t="shared" ref="T38" si="194">0.2877659/G37-0.008903887*G37+0.000069093*G37^2+0.516185391</f>
        <v>0.31782648465908503</v>
      </c>
      <c r="U38" s="593"/>
      <c r="V38" s="345">
        <f t="shared" ref="V38" si="195">C37*E38*F37*T38*U37</f>
        <v>19126.538500372259</v>
      </c>
      <c r="W38" s="598"/>
      <c r="X38" s="598"/>
      <c r="Y38" s="598"/>
      <c r="Z38" s="595"/>
      <c r="AA38" s="66"/>
    </row>
    <row r="39" spans="1:27" ht="15" customHeight="1">
      <c r="A39" s="604"/>
      <c r="B39" s="588" t="s">
        <v>49</v>
      </c>
      <c r="C39" s="586">
        <f>'ｼｰﾄNO.3（表-3）59頁'!$F$30</f>
        <v>9</v>
      </c>
      <c r="D39" s="216" t="s">
        <v>65</v>
      </c>
      <c r="E39" s="342">
        <f>'ｼｰﾄNO.4（表-4）60頁'!K41</f>
        <v>39.9</v>
      </c>
      <c r="F39" s="590">
        <f>'ｼｰﾄNO.4（表-4）60頁'!C41/1000</f>
        <v>0.84799999999999998</v>
      </c>
      <c r="G39" s="590">
        <f>'ｼｰﾄNO.4（表-4）60頁'!C41/1000/('ｼｰﾄNO.4（表-4）60頁'!H41/3600)</f>
        <v>22.613333333333333</v>
      </c>
      <c r="H39" s="219">
        <f>-2.71095565/G39-0.09453616*G39+0.00089493*G39^2+3.15403637</f>
        <v>1.3540095598927391</v>
      </c>
      <c r="I39" s="592">
        <v>10000</v>
      </c>
      <c r="J39" s="343">
        <f t="shared" ref="J39" si="196">C39*E39*F39*H39/1000000*I39</f>
        <v>4.1231865834794519</v>
      </c>
      <c r="K39" s="219">
        <f t="shared" ref="K39" si="197">1501.20185/G39-2.40935*G39+0.02115*G39^2+174.47635</f>
        <v>197.19393451102201</v>
      </c>
      <c r="L39" s="592">
        <v>2891</v>
      </c>
      <c r="M39" s="343">
        <f t="shared" ref="M39" si="198">C39*E39*F39*K39/1000000*L39</f>
        <v>173.60127136519699</v>
      </c>
      <c r="N39" s="219">
        <f>-0.25063622/G39-0.00657231*G39+0.00005332*G39^2+0.29056757</f>
        <v>0.15812804080870232</v>
      </c>
      <c r="O39" s="592">
        <v>840100</v>
      </c>
      <c r="P39" s="343">
        <f t="shared" ref="P39" si="199">C39*E39*F39*N39/1000000*O39</f>
        <v>40.453037045459503</v>
      </c>
      <c r="Q39" s="219">
        <f>0.093055673/G39-0.0002682273*G39+0.00000218*G39^2+0.0173678037</f>
        <v>1.6532141236016248E-2</v>
      </c>
      <c r="R39" s="592">
        <v>482200</v>
      </c>
      <c r="S39" s="343">
        <f t="shared" ref="S39" si="200">C39*E39*F39*Q39/1000000*R39</f>
        <v>2.4275465706850095</v>
      </c>
      <c r="T39" s="219">
        <f t="shared" ref="T39" si="201">0.630901162/G39-0.001006579*G39+0.000008915*G39^2+0.0072170055</f>
        <v>1.6913219530124743E-2</v>
      </c>
      <c r="U39" s="592">
        <v>160</v>
      </c>
      <c r="V39" s="343">
        <f t="shared" ref="V39" si="202">C39*E39*F39*T39*U39</f>
        <v>824.05751824177446</v>
      </c>
      <c r="W39" s="598"/>
      <c r="X39" s="598"/>
      <c r="Y39" s="598"/>
      <c r="Z39" s="595"/>
      <c r="AA39" s="66"/>
    </row>
    <row r="40" spans="1:27" ht="15" customHeight="1">
      <c r="A40" s="604"/>
      <c r="B40" s="589"/>
      <c r="C40" s="587"/>
      <c r="D40" s="217" t="s">
        <v>66</v>
      </c>
      <c r="E40" s="344">
        <f>'ｼｰﾄNO.4（表-4）60頁'!K42</f>
        <v>2.1</v>
      </c>
      <c r="F40" s="591"/>
      <c r="G40" s="591"/>
      <c r="H40" s="218">
        <f>12.28697452/G39-0.05907844*G39+0.00051753*G39^2+2.69979197</f>
        <v>2.1718280043001132</v>
      </c>
      <c r="I40" s="593"/>
      <c r="J40" s="345">
        <f t="shared" ref="J40" si="203">C39*E40*F39*H40/1000000*I39</f>
        <v>0.34808321790518776</v>
      </c>
      <c r="K40" s="218">
        <f t="shared" ref="K40" si="204">908.52069/G39-23.49889*G39+0.18396*G39^2+1364.81344</f>
        <v>967.67184401344969</v>
      </c>
      <c r="L40" s="593"/>
      <c r="M40" s="345">
        <f t="shared" ref="M40" si="205">C39*E40*F39*K40/1000000*L39</f>
        <v>44.8367218856745</v>
      </c>
      <c r="N40" s="218">
        <f>9.45345681/G39-0.14325844*G39+0.00124097*G39^2+5.98054622</f>
        <v>3.7936292257149553</v>
      </c>
      <c r="O40" s="593"/>
      <c r="P40" s="345">
        <f t="shared" ref="P40" si="206">C39*E40*F39*N40/1000000*O39</f>
        <v>51.079133759590775</v>
      </c>
      <c r="Q40" s="218">
        <f>0.6037810576/G39-0.0052863845*G39+0.000423961*G39^2+0.3189943526</f>
        <v>0.4429497043225048</v>
      </c>
      <c r="R40" s="593"/>
      <c r="S40" s="345">
        <f t="shared" ref="S40" si="207">C39*E40*F39*Q40/1000000*R39</f>
        <v>3.4232552162389305</v>
      </c>
      <c r="T40" s="218">
        <f t="shared" ref="T40" si="208">0.2877659/G39-0.008903887*G39+0.000069093*G39^2+0.516185391</f>
        <v>0.3628959160749422</v>
      </c>
      <c r="U40" s="593"/>
      <c r="V40" s="345">
        <f t="shared" ref="V40" si="209">C39*E40*F39*T40*U39</f>
        <v>930.59286817861016</v>
      </c>
      <c r="W40" s="598"/>
      <c r="X40" s="598"/>
      <c r="Y40" s="598"/>
      <c r="Z40" s="595"/>
      <c r="AA40" s="66"/>
    </row>
    <row r="41" spans="1:27" ht="15" customHeight="1">
      <c r="A41" s="604"/>
      <c r="B41" s="588" t="s">
        <v>50</v>
      </c>
      <c r="C41" s="586">
        <f>'ｼｰﾄNO.3（表-3）59頁'!$F$30</f>
        <v>9</v>
      </c>
      <c r="D41" s="216" t="s">
        <v>65</v>
      </c>
      <c r="E41" s="342">
        <f>'ｼｰﾄNO.4（表-4）60頁'!K43</f>
        <v>147.25</v>
      </c>
      <c r="F41" s="590">
        <f>'ｼｰﾄNO.4（表-4）60頁'!C43/1000</f>
        <v>0.91</v>
      </c>
      <c r="G41" s="590">
        <f>'ｼｰﾄNO.4（表-4）60頁'!C43/1000/('ｼｰﾄNO.4（表-4）60頁'!H43/3600)</f>
        <v>30.055045871559635</v>
      </c>
      <c r="H41" s="219">
        <f>-2.71095565/G41-0.09453616*G41+0.00089493*G41^2+3.15403637</f>
        <v>1.030943504144429</v>
      </c>
      <c r="I41" s="592">
        <v>10000</v>
      </c>
      <c r="J41" s="343">
        <f t="shared" ref="J41" si="210">C41*E41*F41*H41/1000000*I41</f>
        <v>12.432946697693382</v>
      </c>
      <c r="K41" s="219">
        <f t="shared" ref="K41" si="211">1501.20185/G41-2.40935*G41+0.02115*G41^2+174.47635</f>
        <v>171.11655572795735</v>
      </c>
      <c r="L41" s="592">
        <v>2891</v>
      </c>
      <c r="M41" s="343">
        <f t="shared" ref="M41" si="212">C41*E41*F41*K41/1000000*L41</f>
        <v>596.59461220292803</v>
      </c>
      <c r="N41" s="219">
        <f>-0.25063622/G41-0.00657231*G41+0.00005332*G41^2+0.29056757</f>
        <v>0.13286151647220723</v>
      </c>
      <c r="O41" s="592">
        <v>840100</v>
      </c>
      <c r="P41" s="343">
        <f t="shared" ref="P41" si="213">C41*E41*F41*N41/1000000*O41</f>
        <v>134.60754236429162</v>
      </c>
      <c r="Q41" s="219">
        <f>0.093055673/G41-0.0002682273*G41+0.00000218*G41^2+0.0173678037</f>
        <v>1.4371601212148963E-2</v>
      </c>
      <c r="R41" s="592">
        <v>482200</v>
      </c>
      <c r="S41" s="343">
        <f t="shared" ref="S41" si="214">C41*E41*F41*Q41/1000000*R41</f>
        <v>8.3574073173375147</v>
      </c>
      <c r="T41" s="219">
        <f t="shared" ref="T41" si="215">0.630901162/G41-0.001006579*G41+0.000008915*G41^2+0.0072170055</f>
        <v>6.0087207101030028E-3</v>
      </c>
      <c r="U41" s="592">
        <v>160</v>
      </c>
      <c r="V41" s="343">
        <f t="shared" ref="V41" si="216">C41*E41*F41*T41*U41</f>
        <v>1159.4211168269189</v>
      </c>
      <c r="W41" s="598"/>
      <c r="X41" s="598"/>
      <c r="Y41" s="598"/>
      <c r="Z41" s="595"/>
      <c r="AA41" s="66"/>
    </row>
    <row r="42" spans="1:27" ht="15" customHeight="1">
      <c r="A42" s="604"/>
      <c r="B42" s="589"/>
      <c r="C42" s="587"/>
      <c r="D42" s="217" t="s">
        <v>66</v>
      </c>
      <c r="E42" s="344">
        <f>'ｼｰﾄNO.4（表-4）60頁'!K44</f>
        <v>7.75</v>
      </c>
      <c r="F42" s="591"/>
      <c r="G42" s="591"/>
      <c r="H42" s="218">
        <f>12.28697452/G41-0.05907844*G41+0.00051753*G41^2+2.69979197</f>
        <v>1.8004902841038075</v>
      </c>
      <c r="I42" s="593"/>
      <c r="J42" s="345">
        <f t="shared" ref="J42" si="217">C41*E42*F41*H42/1000000*I41</f>
        <v>1.1428161955777894</v>
      </c>
      <c r="K42" s="218">
        <f t="shared" ref="K42" si="218">908.52069/G41-23.49889*G41+0.18396*G41^2+1364.81344</f>
        <v>854.95391259522842</v>
      </c>
      <c r="L42" s="593"/>
      <c r="M42" s="345">
        <f t="shared" ref="M42" si="219">C41*E42*F41*K42/1000000*L41</f>
        <v>156.88318586992705</v>
      </c>
      <c r="N42" s="218">
        <f>9.45345681/G41-0.14325844*G41+0.00124097*G41^2+5.98054622</f>
        <v>3.11042070390894</v>
      </c>
      <c r="O42" s="593"/>
      <c r="P42" s="345">
        <f t="shared" ref="P42" si="220">C41*E42*F41*N42/1000000*O41</f>
        <v>165.85773224605546</v>
      </c>
      <c r="Q42" s="218">
        <f>0.6037810576/G41-0.0052863845*G41+0.000423961*G41^2+0.3189943526</f>
        <v>0.56316742112801155</v>
      </c>
      <c r="R42" s="593"/>
      <c r="S42" s="345">
        <f t="shared" ref="S42" si="221">C41*E42*F41*Q42/1000000*R41</f>
        <v>17.236549603125507</v>
      </c>
      <c r="T42" s="218">
        <f t="shared" ref="T42" si="222">0.2877659/G41-0.008903887*G41+0.000069093*G41^2+0.516185391</f>
        <v>0.32056539374004506</v>
      </c>
      <c r="U42" s="593"/>
      <c r="V42" s="345">
        <f t="shared" ref="V42" si="223">C41*E42*F41*T42*U41</f>
        <v>3255.5339126664016</v>
      </c>
      <c r="W42" s="598"/>
      <c r="X42" s="598"/>
      <c r="Y42" s="598"/>
      <c r="Z42" s="595"/>
      <c r="AA42" s="66"/>
    </row>
    <row r="43" spans="1:27" ht="15" customHeight="1">
      <c r="A43" s="604"/>
      <c r="B43" s="588" t="s">
        <v>51</v>
      </c>
      <c r="C43" s="586">
        <f>'ｼｰﾄNO.3（表-3）59頁'!$F$30</f>
        <v>9</v>
      </c>
      <c r="D43" s="216" t="s">
        <v>65</v>
      </c>
      <c r="E43" s="342">
        <f>'ｼｰﾄNO.4（表-4）60頁'!K45</f>
        <v>54.15</v>
      </c>
      <c r="F43" s="590">
        <f>'ｼｰﾄNO.4（表-4）60頁'!C45/1000</f>
        <v>0.76100000000000001</v>
      </c>
      <c r="G43" s="590">
        <f>'ｼｰﾄNO.4（表-4）60頁'!C45/1000/('ｼｰﾄNO.4（表-4）60頁'!H45/3600)</f>
        <v>22.641322314049585</v>
      </c>
      <c r="H43" s="219">
        <f>-2.71095565/G43-0.09453616*G43+0.00089493*G43^2+3.15403637</f>
        <v>1.3526453340932798</v>
      </c>
      <c r="I43" s="592">
        <v>10000</v>
      </c>
      <c r="J43" s="343">
        <f t="shared" ref="J43" si="224">C43*E43*F43*H43/1000000*I43</f>
        <v>5.0166010641704384</v>
      </c>
      <c r="K43" s="219">
        <f t="shared" ref="K43" si="225">1501.20185/G43-2.40935*G43+0.02115*G43^2+174.47635</f>
        <v>197.07122317498113</v>
      </c>
      <c r="L43" s="592">
        <v>2891</v>
      </c>
      <c r="M43" s="343">
        <f t="shared" ref="M43" si="226">C43*E43*F43*K43/1000000*L43</f>
        <v>211.29875152721084</v>
      </c>
      <c r="N43" s="219">
        <f>-0.25063622/G43-0.00657231*G43+0.00005332*G43^2+0.29056757</f>
        <v>0.15802532673956798</v>
      </c>
      <c r="O43" s="592">
        <v>840100</v>
      </c>
      <c r="P43" s="343">
        <f t="shared" ref="P43" si="227">C43*E43*F43*N43/1000000*O43</f>
        <v>49.236061880939722</v>
      </c>
      <c r="Q43" s="219">
        <f>0.093055673/G43-0.0002682273*G43+0.00000218*G43^2+0.0173678037</f>
        <v>1.6522308062949704E-2</v>
      </c>
      <c r="R43" s="592">
        <v>482200</v>
      </c>
      <c r="S43" s="343">
        <f t="shared" ref="S43" si="228">C43*E43*F43*Q43/1000000*R43</f>
        <v>2.9547690999286043</v>
      </c>
      <c r="T43" s="219">
        <f t="shared" ref="T43" si="229">0.630901162/G43-0.001006579*G43+0.000008915*G43^2+0.0072170055</f>
        <v>1.6861849317317577E-2</v>
      </c>
      <c r="U43" s="592">
        <v>160</v>
      </c>
      <c r="V43" s="343">
        <f t="shared" ref="V43" si="230">C43*E43*F43*T43*U43</f>
        <v>1000.5776869614051</v>
      </c>
      <c r="W43" s="598"/>
      <c r="X43" s="598"/>
      <c r="Y43" s="598"/>
      <c r="Z43" s="595"/>
      <c r="AA43" s="66"/>
    </row>
    <row r="44" spans="1:27" ht="15" customHeight="1">
      <c r="A44" s="604"/>
      <c r="B44" s="589"/>
      <c r="C44" s="587"/>
      <c r="D44" s="217" t="s">
        <v>66</v>
      </c>
      <c r="E44" s="344">
        <f>'ｼｰﾄNO.4（表-4）60頁'!K46</f>
        <v>2.85</v>
      </c>
      <c r="F44" s="591"/>
      <c r="G44" s="591"/>
      <c r="H44" s="218">
        <f>12.28697452/G43-0.05907844*G43+0.00051753*G43^2+2.69979197</f>
        <v>2.1701582938483104</v>
      </c>
      <c r="I44" s="593"/>
      <c r="J44" s="345">
        <f t="shared" ref="J44" si="231">C43*E44*F43*H44/1000000*I43</f>
        <v>0.42360730340516178</v>
      </c>
      <c r="K44" s="218">
        <f t="shared" ref="K44" si="232">908.52069/G43-23.49889*G43+0.18396*G43^2+1364.81344</f>
        <v>967.19747801654171</v>
      </c>
      <c r="L44" s="593"/>
      <c r="M44" s="345">
        <f t="shared" ref="M44" si="233">C43*E44*F43*K44/1000000*L43</f>
        <v>54.580218923854325</v>
      </c>
      <c r="N44" s="218">
        <f>9.45345681/G43-0.14325844*G43+0.00124097*G43^2+5.98054622</f>
        <v>3.7906746331889405</v>
      </c>
      <c r="O44" s="593"/>
      <c r="P44" s="345">
        <f t="shared" ref="P44" si="234">C43*E44*F43*N44/1000000*O43</f>
        <v>62.161218631340638</v>
      </c>
      <c r="Q44" s="218">
        <f>0.6037810576/G43-0.0052863845*G43+0.000423961*G43^2+0.3189943526</f>
        <v>0.44330573968938591</v>
      </c>
      <c r="R44" s="593"/>
      <c r="S44" s="345">
        <f t="shared" ref="S44" si="235">C43*E44*F43*Q44/1000000*R43</f>
        <v>4.1725599635692037</v>
      </c>
      <c r="T44" s="218">
        <f t="shared" ref="T44" si="236">0.2877659/G43-0.008903887*G43+0.000069093*G43^2+0.516185391</f>
        <v>0.36271848960200154</v>
      </c>
      <c r="U44" s="593"/>
      <c r="V44" s="345">
        <f t="shared" ref="V44" si="237">C43*E44*F43*T44*U43</f>
        <v>1132.8220744895536</v>
      </c>
      <c r="W44" s="598"/>
      <c r="X44" s="598"/>
      <c r="Y44" s="598"/>
      <c r="Z44" s="595"/>
      <c r="AA44" s="66"/>
    </row>
    <row r="45" spans="1:27" ht="15" customHeight="1">
      <c r="A45" s="604"/>
      <c r="B45" s="588" t="s">
        <v>52</v>
      </c>
      <c r="C45" s="586">
        <f>'ｼｰﾄNO.3（表-3）59頁'!$F$30</f>
        <v>9</v>
      </c>
      <c r="D45" s="216" t="s">
        <v>65</v>
      </c>
      <c r="E45" s="342">
        <f>'ｼｰﾄNO.4（表-4）60頁'!K47</f>
        <v>158.65</v>
      </c>
      <c r="F45" s="590">
        <f>'ｼｰﾄNO.4（表-4）60頁'!C47/1000</f>
        <v>0.84799999999999998</v>
      </c>
      <c r="G45" s="590">
        <f>'ｼｰﾄNO.4（表-4）60頁'!C47/1000/('ｼｰﾄNO.4（表-4）60頁'!H47/3600)</f>
        <v>27.752727272727274</v>
      </c>
      <c r="H45" s="219">
        <f>-2.71095565/G45-0.09453616*G45+0.00089493*G45^2+3.15403637</f>
        <v>1.1220051084994243</v>
      </c>
      <c r="I45" s="592">
        <v>10000</v>
      </c>
      <c r="J45" s="343">
        <f t="shared" ref="J45" si="238">C45*E45*F45*H45/1000000*I45</f>
        <v>13.585426350569257</v>
      </c>
      <c r="K45" s="219">
        <f t="shared" ref="K45" si="239">1501.20185/G45-2.40935*G45+0.02115*G45^2+174.47635</f>
        <v>177.99238771086846</v>
      </c>
      <c r="L45" s="592">
        <v>2891</v>
      </c>
      <c r="M45" s="343">
        <f t="shared" ref="M45" si="240">C45*E45*F45*K45/1000000*L45</f>
        <v>623.0572570462441</v>
      </c>
      <c r="N45" s="219">
        <f>-0.25063622/G45-0.00657231*G45+0.00005332*G45^2+0.29056757</f>
        <v>0.14020479834032479</v>
      </c>
      <c r="O45" s="592">
        <v>840100</v>
      </c>
      <c r="P45" s="343">
        <f t="shared" ref="P45" si="241">C45*E45*F45*N45/1000000*O45</f>
        <v>142.6173294602321</v>
      </c>
      <c r="Q45" s="219">
        <f>0.093055673/G45-0.0002682273*G45+0.00000218*G45^2+0.0173678037</f>
        <v>1.4955858884601478E-2</v>
      </c>
      <c r="R45" s="592">
        <v>482200</v>
      </c>
      <c r="S45" s="343">
        <f t="shared" ref="S45" si="242">C45*E45*F45*Q45/1000000*R45</f>
        <v>8.7320658654652625</v>
      </c>
      <c r="T45" s="219">
        <f t="shared" ref="T45" si="243">0.630901162/G45-0.001006579*G45+0.000008915*G45^2+0.0072170055</f>
        <v>8.8810925083286883E-3</v>
      </c>
      <c r="U45" s="592">
        <v>160</v>
      </c>
      <c r="V45" s="343">
        <f t="shared" ref="V45" si="244">C45*E45*F45*T45*U45</f>
        <v>1720.5401618301628</v>
      </c>
      <c r="W45" s="598"/>
      <c r="X45" s="598"/>
      <c r="Y45" s="598"/>
      <c r="Z45" s="595"/>
      <c r="AA45" s="66"/>
    </row>
    <row r="46" spans="1:27" ht="15" customHeight="1">
      <c r="A46" s="604"/>
      <c r="B46" s="589"/>
      <c r="C46" s="587"/>
      <c r="D46" s="217" t="s">
        <v>66</v>
      </c>
      <c r="E46" s="344">
        <f>'ｼｰﾄNO.4（表-4）60頁'!K48</f>
        <v>8.35</v>
      </c>
      <c r="F46" s="591"/>
      <c r="G46" s="591"/>
      <c r="H46" s="218">
        <f>12.28697452/G45-0.05907844*G45+0.00051753*G45^2+2.69979197</f>
        <v>1.9015432666737011</v>
      </c>
      <c r="I46" s="593"/>
      <c r="J46" s="345">
        <f t="shared" ref="J46" si="245">C45*E46*F45*H46/1000000*I45</f>
        <v>1.2118002806396826</v>
      </c>
      <c r="K46" s="218">
        <f t="shared" ref="K46" si="246">908.52069/G45-23.49889*G45+0.18396*G45^2+1364.81344</f>
        <v>887.07996534181075</v>
      </c>
      <c r="L46" s="593"/>
      <c r="M46" s="345">
        <f t="shared" ref="M46" si="247">C45*E46*F45*K46/1000000*L45</f>
        <v>163.43147476395285</v>
      </c>
      <c r="N46" s="218">
        <f>9.45345681/G45-0.14325844*G45+0.00124097*G45^2+5.98054622</f>
        <v>3.3011777457107159</v>
      </c>
      <c r="O46" s="593"/>
      <c r="P46" s="345">
        <f t="shared" ref="P46" si="248">C45*E46*F45*N46/1000000*O45</f>
        <v>176.73588160806659</v>
      </c>
      <c r="Q46" s="218">
        <f>0.6037810576/G45-0.0052863845*G45+0.000423961*G45^2+0.3189943526</f>
        <v>0.52057914610079359</v>
      </c>
      <c r="R46" s="593"/>
      <c r="S46" s="345">
        <f t="shared" ref="S46" si="249">C45*E46*F45*Q46/1000000*R45</f>
        <v>15.997009765500021</v>
      </c>
      <c r="T46" s="218">
        <f t="shared" ref="T46" si="250">0.2877659/G45-0.008903887*G45+0.000069093*G45^2+0.516185391</f>
        <v>0.33266355369950334</v>
      </c>
      <c r="U46" s="593"/>
      <c r="V46" s="345">
        <f t="shared" ref="V46" si="251">C45*E46*F45*T46*U45</f>
        <v>3391.9546910910376</v>
      </c>
      <c r="W46" s="598"/>
      <c r="X46" s="598"/>
      <c r="Y46" s="598"/>
      <c r="Z46" s="595"/>
      <c r="AA46" s="66"/>
    </row>
    <row r="47" spans="1:27" ht="15" customHeight="1">
      <c r="A47" s="604"/>
      <c r="B47" s="588" t="s">
        <v>53</v>
      </c>
      <c r="C47" s="586">
        <f>'ｼｰﾄNO.3（表-3）59頁'!$F$30</f>
        <v>9</v>
      </c>
      <c r="D47" s="216" t="s">
        <v>65</v>
      </c>
      <c r="E47" s="342">
        <f>'ｼｰﾄNO.4（表-4）60頁'!K49</f>
        <v>738.15</v>
      </c>
      <c r="F47" s="590">
        <f>'ｼｰﾄNO.4（表-4）60頁'!C49/1000</f>
        <v>0.61699999999999999</v>
      </c>
      <c r="G47" s="590">
        <f>'ｼｰﾄNO.4（表-4）60頁'!C49/1000/('ｼｰﾄNO.4（表-4）60頁'!H49/3600)</f>
        <v>27.087804878048779</v>
      </c>
      <c r="H47" s="219">
        <f>-2.71095565/G47-0.09453616*G47+0.00089493*G47^2+3.15403637</f>
        <v>1.1498331610692509</v>
      </c>
      <c r="I47" s="592">
        <v>10000</v>
      </c>
      <c r="J47" s="343">
        <f t="shared" ref="J47" si="252">C47*E47*F47*H47/1000000*I47</f>
        <v>47.131051285736646</v>
      </c>
      <c r="K47" s="219">
        <f t="shared" ref="K47" si="253">1501.20185/G47-2.40935*G47+0.02115*G47^2+174.47635</f>
        <v>180.15098372041632</v>
      </c>
      <c r="L47" s="592">
        <v>2891</v>
      </c>
      <c r="M47" s="343">
        <f t="shared" ref="M47" si="254">C47*E47*F47*K47/1000000*L47</f>
        <v>2134.7991793275273</v>
      </c>
      <c r="N47" s="219">
        <f>-0.25063622/G47-0.00657231*G47+0.00005332*G47^2+0.29056757</f>
        <v>0.14240889225716619</v>
      </c>
      <c r="O47" s="592">
        <v>840100</v>
      </c>
      <c r="P47" s="343">
        <f t="shared" ref="P47" si="255">C47*E47*F47*N47/1000000*O47</f>
        <v>490.3886280885846</v>
      </c>
      <c r="Q47" s="219">
        <f>0.093055673/G47-0.0002682273*G47+0.00000218*G47^2+0.0173678037</f>
        <v>1.5137022719626959E-2</v>
      </c>
      <c r="R47" s="592">
        <v>482200</v>
      </c>
      <c r="S47" s="343">
        <f t="shared" ref="S47" si="256">C47*E47*F47*Q47/1000000*R47</f>
        <v>29.918510369013028</v>
      </c>
      <c r="T47" s="219">
        <f t="shared" ref="T47" si="257">0.630901162/G47-0.001006579*G47+0.000008915*G47^2+0.0072170055</f>
        <v>9.7833305544376171E-3</v>
      </c>
      <c r="U47" s="592">
        <v>160</v>
      </c>
      <c r="V47" s="343">
        <f t="shared" ref="V47" si="258">C47*E47*F47*T47*U47</f>
        <v>6416.2164699126197</v>
      </c>
      <c r="W47" s="598"/>
      <c r="X47" s="598"/>
      <c r="Y47" s="598"/>
      <c r="Z47" s="595"/>
      <c r="AA47" s="66"/>
    </row>
    <row r="48" spans="1:27" ht="15" customHeight="1">
      <c r="A48" s="604"/>
      <c r="B48" s="589"/>
      <c r="C48" s="587"/>
      <c r="D48" s="217" t="s">
        <v>66</v>
      </c>
      <c r="E48" s="344">
        <f>'ｼｰﾄNO.4（表-4）60頁'!K50</f>
        <v>38.85</v>
      </c>
      <c r="F48" s="591"/>
      <c r="G48" s="591"/>
      <c r="H48" s="218">
        <f>12.28697452/G47-0.05907844*G47+0.00051753*G47^2+2.69979197</f>
        <v>1.9328219392155921</v>
      </c>
      <c r="I48" s="593"/>
      <c r="J48" s="345">
        <f t="shared" ref="J48" si="259">C47*E48*F47*H48/1000000*I47</f>
        <v>4.1697550487583355</v>
      </c>
      <c r="K48" s="218">
        <f t="shared" ref="K48" si="260">908.52069/G47-23.49889*G47+0.18396*G47^2+1364.81344</f>
        <v>896.80043250303515</v>
      </c>
      <c r="L48" s="593"/>
      <c r="M48" s="345">
        <f t="shared" ref="M48" si="261">C47*E48*F47*K48/1000000*L47</f>
        <v>559.3228955982205</v>
      </c>
      <c r="N48" s="218">
        <f>9.45345681/G47-0.14325844*G47+0.00124097*G47^2+5.98054622</f>
        <v>3.3595433546140332</v>
      </c>
      <c r="O48" s="593"/>
      <c r="P48" s="345">
        <f t="shared" ref="P48" si="262">C47*E48*F47*N48/1000000*O47</f>
        <v>608.87750778424038</v>
      </c>
      <c r="Q48" s="218">
        <f>0.6037810576/G47-0.0052863845*G47+0.000423961*G47^2+0.3189943526</f>
        <v>0.50916860825670229</v>
      </c>
      <c r="R48" s="593"/>
      <c r="S48" s="345">
        <f t="shared" ref="S48" si="263">C47*E48*F47*Q48/1000000*R47</f>
        <v>52.967261889381859</v>
      </c>
      <c r="T48" s="218">
        <f t="shared" ref="T48" si="264">0.2877659/G47-0.008903887*G47+0.000069093*G47^2+0.516185391</f>
        <v>0.33631901740188841</v>
      </c>
      <c r="U48" s="593"/>
      <c r="V48" s="345">
        <f t="shared" ref="V48" si="265">C47*E48*F47*T48*U47</f>
        <v>11608.874194580781</v>
      </c>
      <c r="W48" s="598"/>
      <c r="X48" s="598"/>
      <c r="Y48" s="598"/>
      <c r="Z48" s="595"/>
      <c r="AA48" s="66"/>
    </row>
    <row r="49" spans="1:27" ht="15" customHeight="1">
      <c r="A49" s="604"/>
      <c r="B49" s="588" t="s">
        <v>54</v>
      </c>
      <c r="C49" s="586">
        <f>'ｼｰﾄNO.3（表-3）59頁'!$F$30</f>
        <v>9</v>
      </c>
      <c r="D49" s="216" t="s">
        <v>65</v>
      </c>
      <c r="E49" s="342">
        <f>'ｼｰﾄNO.4（表-4）60頁'!K51</f>
        <v>133</v>
      </c>
      <c r="F49" s="590">
        <f>'ｼｰﾄNO.4（表-4）60頁'!C51/1000</f>
        <v>0.82399999999999995</v>
      </c>
      <c r="G49" s="590">
        <f>'ｼｰﾄNO.4（表-4）60頁'!C51/1000/('ｼｰﾄNO.4（表-4）60頁'!H51/3600)</f>
        <v>28.523076923076921</v>
      </c>
      <c r="H49" s="219">
        <f>-2.71095565/G49-0.09453616*G49+0.00089493*G49^2+3.15403637</f>
        <v>1.090614460615126</v>
      </c>
      <c r="I49" s="592">
        <v>10000</v>
      </c>
      <c r="J49" s="343">
        <f t="shared" ref="J49" si="266">C49*E49*F49*H49/1000000*I49</f>
        <v>10.757035797095959</v>
      </c>
      <c r="K49" s="219">
        <f t="shared" ref="K49" si="267">1501.20185/G49-2.40935*G49+0.02115*G49^2+174.47635</f>
        <v>175.59232658424133</v>
      </c>
      <c r="L49" s="592">
        <v>2891</v>
      </c>
      <c r="M49" s="343">
        <f t="shared" ref="M49" si="268">C49*E49*F49*K49/1000000*L49</f>
        <v>500.69699740136997</v>
      </c>
      <c r="N49" s="219">
        <f>-0.25063622/G49-0.00657231*G49+0.00005332*G49^2+0.29056757</f>
        <v>0.1376972627690112</v>
      </c>
      <c r="O49" s="592">
        <v>840100</v>
      </c>
      <c r="P49" s="343">
        <f t="shared" ref="P49" si="269">C49*E49*F49*N49/1000000*O49</f>
        <v>114.0979007322232</v>
      </c>
      <c r="Q49" s="219">
        <f>0.093055673/G49-0.0002682273*G49+0.00000218*G49^2+0.0173678037</f>
        <v>1.4753179146136358E-2</v>
      </c>
      <c r="R49" s="592">
        <v>482200</v>
      </c>
      <c r="S49" s="343">
        <f t="shared" ref="S49" si="270">C49*E49*F49*Q49/1000000*R49</f>
        <v>7.0167206089060548</v>
      </c>
      <c r="T49" s="219">
        <f t="shared" ref="T49" si="271">0.630901162/G49-0.001006579*G49+0.000008915*G49^2+0.0072170055</f>
        <v>7.8781881831032213E-3</v>
      </c>
      <c r="U49" s="592">
        <v>160</v>
      </c>
      <c r="V49" s="343">
        <f t="shared" ref="V49" si="272">C49*E49*F49*T49*U49</f>
        <v>1243.2764150822136</v>
      </c>
      <c r="W49" s="598"/>
      <c r="X49" s="598"/>
      <c r="Y49" s="598"/>
      <c r="Z49" s="595"/>
      <c r="AA49" s="66"/>
    </row>
    <row r="50" spans="1:27" ht="15" customHeight="1">
      <c r="A50" s="604"/>
      <c r="B50" s="589"/>
      <c r="C50" s="587"/>
      <c r="D50" s="217" t="s">
        <v>66</v>
      </c>
      <c r="E50" s="344">
        <f>'ｼｰﾄNO.4（表-4）60頁'!K52</f>
        <v>7</v>
      </c>
      <c r="F50" s="591"/>
      <c r="G50" s="591"/>
      <c r="H50" s="218">
        <f>12.28697452/G49-0.05907844*G49+0.00051753*G49^2+2.69979197</f>
        <v>1.8665109593380467</v>
      </c>
      <c r="I50" s="593"/>
      <c r="J50" s="345">
        <f t="shared" ref="J50" si="273">C49*E50*F49*H50/1000000*I49</f>
        <v>0.96894316921156676</v>
      </c>
      <c r="K50" s="218">
        <f t="shared" ref="K50" si="274">908.52069/G49-23.49889*G49+0.18396*G49^2+1364.81344</f>
        <v>876.06850679459603</v>
      </c>
      <c r="L50" s="593"/>
      <c r="M50" s="345">
        <f t="shared" ref="M50" si="275">C49*E50*F49*K50/1000000*L49</f>
        <v>131.47825192676862</v>
      </c>
      <c r="N50" s="218">
        <f>9.45345681/G49-0.14325844*G49+0.00124097*G49^2+5.98054622</f>
        <v>3.2354174852760047</v>
      </c>
      <c r="O50" s="593"/>
      <c r="P50" s="345">
        <f t="shared" ref="P50" si="276">C49*E50*F49*N50/1000000*O49</f>
        <v>141.10066939559385</v>
      </c>
      <c r="Q50" s="218">
        <f>0.6037810576/G49-0.0052863845*G49+0.000423961*G49^2+0.3189943526</f>
        <v>0.53429878072260373</v>
      </c>
      <c r="R50" s="593"/>
      <c r="S50" s="345">
        <f t="shared" ref="S50" si="277">C49*E50*F49*Q50/1000000*R49</f>
        <v>13.374549126609184</v>
      </c>
      <c r="T50" s="218">
        <f t="shared" ref="T50" si="278">0.2877659/G49-0.008903887*G49+0.000069093*G49^2+0.516185391</f>
        <v>0.32851972708814747</v>
      </c>
      <c r="U50" s="593"/>
      <c r="V50" s="345">
        <f t="shared" ref="V50" si="279">C49*E50*F49*T50*U49</f>
        <v>2728.6585716159857</v>
      </c>
      <c r="W50" s="598"/>
      <c r="X50" s="598"/>
      <c r="Y50" s="598"/>
      <c r="Z50" s="595"/>
      <c r="AA50" s="66"/>
    </row>
    <row r="51" spans="1:27" ht="15" customHeight="1">
      <c r="A51" s="604"/>
      <c r="B51" s="588" t="s">
        <v>55</v>
      </c>
      <c r="C51" s="586">
        <f>'ｼｰﾄNO.3（表-3）59頁'!$F$30</f>
        <v>9</v>
      </c>
      <c r="D51" s="216" t="s">
        <v>65</v>
      </c>
      <c r="E51" s="342">
        <f>'ｼｰﾄNO.4（表-4）60頁'!K53</f>
        <v>47.5</v>
      </c>
      <c r="F51" s="590">
        <f>'ｼｰﾄNO.4（表-4）60頁'!C53/1000</f>
        <v>0.91</v>
      </c>
      <c r="G51" s="590">
        <f>'ｼｰﾄNO.4（表-4）60頁'!C53/1000/('ｼｰﾄNO.4（表-4）60頁'!H53/3600)</f>
        <v>22.90909090909091</v>
      </c>
      <c r="H51" s="219">
        <f>-2.71095565/G51-0.09453616*G51+0.00089493*G51^2+3.15403637</f>
        <v>1.3396464522592815</v>
      </c>
      <c r="I51" s="592">
        <v>10000</v>
      </c>
      <c r="J51" s="343">
        <f t="shared" ref="J51" si="280">C51*E51*F51*H51/1000000*I51</f>
        <v>5.21155961090167</v>
      </c>
      <c r="K51" s="219">
        <f t="shared" ref="K51" si="281">1501.20185/G51-2.40935*G51+0.02115*G51^2+174.47635</f>
        <v>195.90906333956445</v>
      </c>
      <c r="L51" s="592">
        <v>2891</v>
      </c>
      <c r="M51" s="343">
        <f t="shared" ref="M51" si="282">C51*E51*F51*K51/1000000*L51</f>
        <v>220.33329605016377</v>
      </c>
      <c r="N51" s="219">
        <f>-0.25063622/G51-0.00657231*G51+0.00005332*G51^2+0.29056757</f>
        <v>0.15704519892234028</v>
      </c>
      <c r="O51" s="592">
        <v>840100</v>
      </c>
      <c r="P51" s="343">
        <f t="shared" ref="P51" si="283">C51*E51*F51*N51/1000000*O51</f>
        <v>51.325496599892354</v>
      </c>
      <c r="Q51" s="219">
        <f>0.093055673/G51-0.0002682273*G51+0.00000218*G51^2+0.0173678037</f>
        <v>1.6429035733051291E-2</v>
      </c>
      <c r="R51" s="592">
        <v>482200</v>
      </c>
      <c r="S51" s="343">
        <f t="shared" ref="S51" si="284">C51*E51*F51*Q51/1000000*R51</f>
        <v>3.0818875728814445</v>
      </c>
      <c r="T51" s="219">
        <f t="shared" ref="T51" si="285">0.630901162/G51-0.001006579*G51+0.000008915*G51^2+0.0072170055</f>
        <v>1.6375359886921154E-2</v>
      </c>
      <c r="U51" s="592">
        <v>160</v>
      </c>
      <c r="V51" s="343">
        <f t="shared" ref="V51" si="286">C51*E51*F51*T51*U51</f>
        <v>1019.2679008015203</v>
      </c>
      <c r="W51" s="598"/>
      <c r="X51" s="598"/>
      <c r="Y51" s="598"/>
      <c r="Z51" s="595"/>
      <c r="AA51" s="66"/>
    </row>
    <row r="52" spans="1:27" ht="15" customHeight="1">
      <c r="A52" s="604"/>
      <c r="B52" s="589"/>
      <c r="C52" s="587"/>
      <c r="D52" s="217" t="s">
        <v>66</v>
      </c>
      <c r="E52" s="344">
        <f>'ｼｰﾄNO.4（表-4）60頁'!K54</f>
        <v>2.5</v>
      </c>
      <c r="F52" s="591"/>
      <c r="G52" s="591"/>
      <c r="H52" s="218">
        <f>12.28697452/G51-0.05907844*G51+0.00051753*G51^2+2.69979197</f>
        <v>2.154308237381608</v>
      </c>
      <c r="I52" s="593"/>
      <c r="J52" s="345">
        <f t="shared" ref="J52" si="287">C51*E52*F51*H52/1000000*I51</f>
        <v>0.4410946116038843</v>
      </c>
      <c r="K52" s="218">
        <f t="shared" ref="K52" si="288">908.52069/G51-23.49889*G51+0.18396*G51^2+1364.81344</f>
        <v>962.67995495179059</v>
      </c>
      <c r="L52" s="593"/>
      <c r="M52" s="345">
        <f t="shared" ref="M52" si="289">C51*E52*F51*K52/1000000*L51</f>
        <v>56.9841311764512</v>
      </c>
      <c r="N52" s="218">
        <f>9.45345681/G51-0.14325844*G51+0.00124097*G51^2+5.98054622</f>
        <v>3.7625703620867768</v>
      </c>
      <c r="O52" s="593"/>
      <c r="P52" s="345">
        <f t="shared" ref="P52" si="290">C51*E52*F51*N52/1000000*O51</f>
        <v>64.720151520346846</v>
      </c>
      <c r="Q52" s="218">
        <f>0.6037810576/G51-0.0052863845*G51+0.000423961*G51^2+0.3189943526</f>
        <v>0.44674955685638201</v>
      </c>
      <c r="R52" s="593"/>
      <c r="S52" s="345">
        <f t="shared" ref="S52" si="291">C51*E52*F51*Q52/1000000*R51</f>
        <v>4.4107784785731186</v>
      </c>
      <c r="T52" s="218">
        <f t="shared" ref="T52" si="292">0.2877659/G51-0.008903887*G51+0.000069093*G51^2+0.516185391</f>
        <v>0.3610284778462548</v>
      </c>
      <c r="U52" s="593"/>
      <c r="V52" s="345">
        <f t="shared" ref="V52" si="293">C51*E52*F51*T52*U51</f>
        <v>1182.729293424331</v>
      </c>
      <c r="W52" s="598"/>
      <c r="X52" s="598"/>
      <c r="Y52" s="598"/>
      <c r="Z52" s="595"/>
      <c r="AA52" s="66"/>
    </row>
    <row r="53" spans="1:27" ht="15" customHeight="1">
      <c r="A53" s="604"/>
      <c r="B53" s="588" t="s">
        <v>56</v>
      </c>
      <c r="C53" s="586">
        <f>'ｼｰﾄNO.3（表-3）59頁'!$F$30</f>
        <v>9</v>
      </c>
      <c r="D53" s="216" t="s">
        <v>65</v>
      </c>
      <c r="E53" s="342">
        <f>'ｼｰﾄNO.4（表-4）60頁'!K55</f>
        <v>743.84999999999991</v>
      </c>
      <c r="F53" s="590">
        <f>'ｼｰﾄNO.4（表-4）60頁'!C55/1000</f>
        <v>0.61699999999999999</v>
      </c>
      <c r="G53" s="590">
        <f>'ｼｰﾄNO.4（表-4）60頁'!C55/1000/('ｼｰﾄNO.4（表-4）60頁'!H55/3600)</f>
        <v>27.087804878048779</v>
      </c>
      <c r="H53" s="219">
        <f>-2.71095565/G53-0.09453616*G53+0.00089493*G53^2+3.15403637</f>
        <v>1.1498331610692509</v>
      </c>
      <c r="I53" s="592">
        <v>10000</v>
      </c>
      <c r="J53" s="343">
        <f t="shared" ref="J53" si="294">C53*E53*F53*H53/1000000*I53</f>
        <v>47.494997627711449</v>
      </c>
      <c r="K53" s="219">
        <f t="shared" ref="K53" si="295">1501.20185/G53-2.40935*G53+0.02115*G53^2+174.47635</f>
        <v>180.15098372041632</v>
      </c>
      <c r="L53" s="592">
        <v>2891</v>
      </c>
      <c r="M53" s="343">
        <f t="shared" ref="M53" si="296">C53*E53*F53*K53/1000000*L53</f>
        <v>2151.2841150752306</v>
      </c>
      <c r="N53" s="219">
        <f>-0.25063622/G53-0.00657231*G53+0.00005332*G53^2+0.29056757</f>
        <v>0.14240889225716619</v>
      </c>
      <c r="O53" s="592">
        <v>840100</v>
      </c>
      <c r="P53" s="343">
        <f t="shared" ref="P53" si="297">C53*E53*F53*N53/1000000*O53</f>
        <v>494.17541286146945</v>
      </c>
      <c r="Q53" s="219">
        <f>0.093055673/G53-0.0002682273*G53+0.00000218*G53^2+0.0173678037</f>
        <v>1.5137022719626959E-2</v>
      </c>
      <c r="R53" s="592">
        <v>482200</v>
      </c>
      <c r="S53" s="343">
        <f t="shared" ref="S53" si="298">C53*E53*F53*Q53/1000000*R53</f>
        <v>30.149541337113515</v>
      </c>
      <c r="T53" s="219">
        <f t="shared" ref="T53" si="299">0.630901162/G53-0.001006579*G53+0.000008915*G53^2+0.0072170055</f>
        <v>9.7833305544376171E-3</v>
      </c>
      <c r="U53" s="592">
        <v>160</v>
      </c>
      <c r="V53" s="343">
        <f t="shared" ref="V53" si="300">C53*E53*F53*T53*U53</f>
        <v>6465.7625430393591</v>
      </c>
      <c r="W53" s="598"/>
      <c r="X53" s="598"/>
      <c r="Y53" s="598"/>
      <c r="Z53" s="595"/>
      <c r="AA53" s="66"/>
    </row>
    <row r="54" spans="1:27" ht="15" customHeight="1">
      <c r="A54" s="605"/>
      <c r="B54" s="589"/>
      <c r="C54" s="587"/>
      <c r="D54" s="217" t="s">
        <v>66</v>
      </c>
      <c r="E54" s="344">
        <f>'ｼｰﾄNO.4（表-4）60頁'!K56</f>
        <v>39.150000000000006</v>
      </c>
      <c r="F54" s="591"/>
      <c r="G54" s="591"/>
      <c r="H54" s="218">
        <f>12.28697452/G53-0.05907844*G53+0.00051753*G53^2+2.69979197</f>
        <v>1.9328219392155921</v>
      </c>
      <c r="I54" s="593"/>
      <c r="J54" s="345">
        <f t="shared" ref="J54" si="301">C53*E54*F53*H54/1000000*I53</f>
        <v>4.2019539294437278</v>
      </c>
      <c r="K54" s="218">
        <f t="shared" ref="K54" si="302">908.52069/G53-23.49889*G53+0.18396*G53^2+1364.81344</f>
        <v>896.80043250303515</v>
      </c>
      <c r="L54" s="593"/>
      <c r="M54" s="345">
        <f t="shared" ref="M54" si="303">C53*E54*F53*K54/1000000*L53</f>
        <v>563.64199131712564</v>
      </c>
      <c r="N54" s="218">
        <f>9.45345681/G53-0.14325844*G53+0.00124097*G53^2+5.98054622</f>
        <v>3.3595433546140332</v>
      </c>
      <c r="O54" s="593"/>
      <c r="P54" s="345">
        <f t="shared" ref="P54" si="304">C53*E54*F53*N54/1000000*O53</f>
        <v>613.57926460110696</v>
      </c>
      <c r="Q54" s="218">
        <f>0.6037810576/G53-0.0052863845*G53+0.000423961*G53^2+0.3189943526</f>
        <v>0.50916860825670229</v>
      </c>
      <c r="R54" s="593"/>
      <c r="S54" s="345">
        <f t="shared" ref="S54" si="305">C53*E54*F53*Q54/1000000*R53</f>
        <v>53.376275494705276</v>
      </c>
      <c r="T54" s="218">
        <f t="shared" ref="T54" si="306">0.2877659/G53-0.008903887*G53+0.000069093*G53^2+0.516185391</f>
        <v>0.33631901740188841</v>
      </c>
      <c r="U54" s="593"/>
      <c r="V54" s="345">
        <f t="shared" ref="V54" si="307">C53*E54*F53*T54*U53</f>
        <v>11698.51801075515</v>
      </c>
      <c r="W54" s="599"/>
      <c r="X54" s="599"/>
      <c r="Y54" s="599"/>
      <c r="Z54" s="595"/>
      <c r="AA54" s="66"/>
    </row>
    <row r="55" spans="1:27" ht="15" customHeight="1">
      <c r="A55" s="603" t="s">
        <v>929</v>
      </c>
      <c r="B55" s="588" t="s">
        <v>45</v>
      </c>
      <c r="C55" s="586">
        <f>'ｼｰﾄNO.3（表-3）59頁'!$F$30</f>
        <v>9</v>
      </c>
      <c r="D55" s="216" t="s">
        <v>65</v>
      </c>
      <c r="E55" s="342">
        <f>'ｼｰﾄNO.4（表-4）60頁'!K60</f>
        <v>772.34999999999991</v>
      </c>
      <c r="F55" s="590">
        <f>'ｼｰﾄNO.4（表-4）60頁'!C60/1000</f>
        <v>1.054</v>
      </c>
      <c r="G55" s="590">
        <f>'ｼｰﾄNO.4（表-4）60頁'!C60/1000/('ｼｰﾄNO.4（表-4）60頁'!H60/3600)</f>
        <v>29.643750000000001</v>
      </c>
      <c r="H55" s="219">
        <f>-2.71095565/G55-0.09453616*G55+0.00089493*G55^2+3.15403637</f>
        <v>1.0466003564631281</v>
      </c>
      <c r="I55" s="592">
        <v>10000</v>
      </c>
      <c r="J55" s="343">
        <f>C55*E55*F55*H55/1000000*I55</f>
        <v>76.679301754914221</v>
      </c>
      <c r="K55" s="219">
        <f>1501.20185/G55-2.40935*G55+0.02115*G55^2+174.47635</f>
        <v>172.28121255158959</v>
      </c>
      <c r="L55" s="592">
        <v>2891</v>
      </c>
      <c r="M55" s="343">
        <f>C55*E55*F55*K55/1000000*L55</f>
        <v>3649.0791427542326</v>
      </c>
      <c r="N55" s="219">
        <f>-0.25063622/G55-0.00657231*G55+0.00005332*G55^2+0.29056757</f>
        <v>0.13413976437914132</v>
      </c>
      <c r="O55" s="592">
        <v>840100</v>
      </c>
      <c r="P55" s="343">
        <f>C55*E55*F55*N55/1000000*O55</f>
        <v>825.63062738522092</v>
      </c>
      <c r="Q55" s="219">
        <f>0.093055673/G55-0.0002682273*G55+0.00000218*G55^2+0.0173678037</f>
        <v>1.4471352818974903E-2</v>
      </c>
      <c r="R55" s="592">
        <v>482200</v>
      </c>
      <c r="S55" s="343">
        <f>C55*E55*F55*Q55/1000000*R55</f>
        <v>51.12503392653209</v>
      </c>
      <c r="T55" s="219">
        <f>0.630901162/G55-0.001006579*G55+0.000008915*G55^2+0.0072170055</f>
        <v>6.4950742292543343E-3</v>
      </c>
      <c r="U55" s="592">
        <v>160</v>
      </c>
      <c r="V55" s="343">
        <f>C55*E55*F55*T55*U55</f>
        <v>7613.7983889648076</v>
      </c>
      <c r="W55" s="597">
        <f>SUM(J55:J78)+SUM(M55:M78)+SUM(P55:P78)+SUM(S55:S78)+SUM(V55:V78)</f>
        <v>140897.94643641738</v>
      </c>
      <c r="X55" s="597">
        <f>'ｼｰﾄNO.3（表-3）59頁'!F37</f>
        <v>16</v>
      </c>
      <c r="Y55" s="597">
        <f>W55*X55</f>
        <v>2254367.142982678</v>
      </c>
      <c r="Z55" s="595"/>
      <c r="AA55" s="66"/>
    </row>
    <row r="56" spans="1:27" ht="15" customHeight="1">
      <c r="A56" s="604"/>
      <c r="B56" s="589"/>
      <c r="C56" s="587"/>
      <c r="D56" s="217" t="s">
        <v>66</v>
      </c>
      <c r="E56" s="344">
        <f>'ｼｰﾄNO.4（表-4）60頁'!K61</f>
        <v>40.650000000000006</v>
      </c>
      <c r="F56" s="591"/>
      <c r="G56" s="591"/>
      <c r="H56" s="218">
        <f>12.28697452/G55-0.05907844*G55+0.00051753*G55^2+2.69979197</f>
        <v>1.8177538030136606</v>
      </c>
      <c r="I56" s="593"/>
      <c r="J56" s="345">
        <f>C55*E56*F55*H56/1000000*I55</f>
        <v>7.0093659118950544</v>
      </c>
      <c r="K56" s="218">
        <f>908.52069/G55-23.49889*G55+0.18396*G55^2+1364.81344</f>
        <v>860.52138928887075</v>
      </c>
      <c r="L56" s="593"/>
      <c r="M56" s="345">
        <f>C55*E56*F55*K56/1000000*L55</f>
        <v>959.29776275628376</v>
      </c>
      <c r="N56" s="218">
        <f>9.45345681/G55-0.14325844*G55+0.00124097*G55^2+5.98054622</f>
        <v>3.1432357925564749</v>
      </c>
      <c r="O56" s="593"/>
      <c r="P56" s="345">
        <f>C55*E56*F55*N56/1000000*O55</f>
        <v>1018.2434290554703</v>
      </c>
      <c r="Q56" s="218">
        <f>0.6037810576/G55-0.0052863845*G55+0.000423961*G55^2+0.3189943526</f>
        <v>0.55521053643067186</v>
      </c>
      <c r="R56" s="593"/>
      <c r="S56" s="345">
        <f>C55*E56*F55*Q56/1000000*R55</f>
        <v>103.235383532017</v>
      </c>
      <c r="T56" s="218">
        <f>0.2877659/G55-0.008903887*G55+0.000069093*G55^2+0.516185391</f>
        <v>0.32266386964951294</v>
      </c>
      <c r="U56" s="593"/>
      <c r="V56" s="345">
        <f>C55*E56*F55*T56*U55</f>
        <v>19907.374696589301</v>
      </c>
      <c r="W56" s="598"/>
      <c r="X56" s="598"/>
      <c r="Y56" s="598"/>
      <c r="Z56" s="595"/>
      <c r="AA56" s="66"/>
    </row>
    <row r="57" spans="1:27" ht="15" customHeight="1">
      <c r="A57" s="604"/>
      <c r="B57" s="588" t="s">
        <v>46</v>
      </c>
      <c r="C57" s="586">
        <f>'ｼｰﾄNO.3（表-3）59頁'!$F$30</f>
        <v>9</v>
      </c>
      <c r="D57" s="216" t="s">
        <v>65</v>
      </c>
      <c r="E57" s="342">
        <f>'ｼｰﾄNO.4（表-4）60頁'!K62</f>
        <v>148.19999999999999</v>
      </c>
      <c r="F57" s="590">
        <f>'ｼｰﾄNO.4（表-4）60頁'!C62/1000</f>
        <v>0.76100000000000001</v>
      </c>
      <c r="G57" s="590">
        <f>'ｼｰﾄNO.4（表-4）60頁'!C62/1000/('ｼｰﾄNO.4（表-4）60頁'!H62/3600)</f>
        <v>27.955102040816328</v>
      </c>
      <c r="H57" s="219">
        <f>-2.71095565/G57-0.09453616*G57+0.00089493*G57^2+3.15403637</f>
        <v>1.1136698404962537</v>
      </c>
      <c r="I57" s="592">
        <v>10000</v>
      </c>
      <c r="J57" s="343">
        <f t="shared" ref="J57" si="308">C57*E57*F57*H57/1000000*I57</f>
        <v>11.303991661062202</v>
      </c>
      <c r="K57" s="219">
        <f t="shared" ref="K57" si="309">1501.20185/G57-2.40935*G57+0.02115*G57^2+174.47635</f>
        <v>177.35165078551574</v>
      </c>
      <c r="L57" s="592">
        <v>2891</v>
      </c>
      <c r="M57" s="343">
        <f t="shared" ref="M57" si="310">C57*E57*F57*K57/1000000*L57</f>
        <v>520.42565413220871</v>
      </c>
      <c r="N57" s="219">
        <f>-0.25063622/G57-0.00657231*G57+0.00005332*G57^2+0.29056757</f>
        <v>0.13954122906549798</v>
      </c>
      <c r="O57" s="592">
        <v>840100</v>
      </c>
      <c r="P57" s="343">
        <f t="shared" ref="P57" si="311">C57*E57*F57*N57/1000000*O57</f>
        <v>118.98957091918027</v>
      </c>
      <c r="Q57" s="219">
        <f>0.093055673/G57-0.0002682273*G57+0.00000218*G57^2+0.0173678037</f>
        <v>1.4901879955931608E-2</v>
      </c>
      <c r="R57" s="592">
        <v>482200</v>
      </c>
      <c r="S57" s="343">
        <f t="shared" ref="S57" si="312">C57*E57*F57*Q57/1000000*R57</f>
        <v>7.2936284604374961</v>
      </c>
      <c r="T57" s="219">
        <f t="shared" ref="T57" si="313">0.630901162/G57-0.001006579*G57+0.000008915*G57^2+0.0072170055</f>
        <v>8.6133226666943175E-3</v>
      </c>
      <c r="U57" s="592">
        <v>160</v>
      </c>
      <c r="V57" s="343">
        <f t="shared" ref="V57" si="314">C57*E57*F57*T57*U57</f>
        <v>1398.8336443406185</v>
      </c>
      <c r="W57" s="598"/>
      <c r="X57" s="598"/>
      <c r="Y57" s="598"/>
      <c r="Z57" s="595"/>
      <c r="AA57" s="66"/>
    </row>
    <row r="58" spans="1:27" ht="15" customHeight="1">
      <c r="A58" s="604"/>
      <c r="B58" s="589"/>
      <c r="C58" s="587"/>
      <c r="D58" s="217" t="s">
        <v>66</v>
      </c>
      <c r="E58" s="344">
        <f>'ｼｰﾄNO.4（表-4）60頁'!K63</f>
        <v>7.8000000000000007</v>
      </c>
      <c r="F58" s="591"/>
      <c r="G58" s="591"/>
      <c r="H58" s="218">
        <f>12.28697452/G57-0.05907844*G57+0.00051753*G57^2+2.69979197</f>
        <v>1.8922167930969032</v>
      </c>
      <c r="I58" s="593"/>
      <c r="J58" s="345">
        <f t="shared" ref="J58" si="315">C57*E58*F57*H58/1000000*I57</f>
        <v>1.0108638396418139</v>
      </c>
      <c r="K58" s="218">
        <f t="shared" ref="K58" si="316">908.52069/G57-23.49889*G57+0.18396*G57^2+1364.81344</f>
        <v>884.1613350837506</v>
      </c>
      <c r="L58" s="593"/>
      <c r="M58" s="345">
        <f t="shared" ref="M58" si="317">C57*E58*F57*K58/1000000*L57</f>
        <v>136.55304206474631</v>
      </c>
      <c r="N58" s="218">
        <f>9.45345681/G57-0.14325844*G57+0.00124097*G57^2+5.98054622</f>
        <v>3.2837104457456512</v>
      </c>
      <c r="O58" s="593"/>
      <c r="P58" s="345">
        <f t="shared" ref="P58" si="318">C57*E58*F57*N58/1000000*O57</f>
        <v>147.37289269037666</v>
      </c>
      <c r="Q58" s="218">
        <f>0.6037810576/G57-0.0052863845*G57+0.000423961*G57^2+0.3189943526</f>
        <v>0.52413149597119757</v>
      </c>
      <c r="R58" s="593"/>
      <c r="S58" s="345">
        <f t="shared" ref="S58" si="319">C57*E58*F57*Q58/1000000*R57</f>
        <v>13.501724216683765</v>
      </c>
      <c r="T58" s="218">
        <f t="shared" ref="T58" si="320">0.2877659/G57-0.008903887*G57+0.000069093*G57^2+0.516185391</f>
        <v>0.33156551285231084</v>
      </c>
      <c r="U58" s="593"/>
      <c r="V58" s="345">
        <f t="shared" ref="V58" si="321">C57*E58*F57*T58*U57</f>
        <v>2834.0734625117957</v>
      </c>
      <c r="W58" s="598"/>
      <c r="X58" s="598"/>
      <c r="Y58" s="598"/>
      <c r="Z58" s="595"/>
      <c r="AA58" s="66"/>
    </row>
    <row r="59" spans="1:27" ht="15" customHeight="1">
      <c r="A59" s="604"/>
      <c r="B59" s="588" t="s">
        <v>47</v>
      </c>
      <c r="C59" s="586">
        <f>'ｼｰﾄNO.3（表-3）59頁'!$F$30</f>
        <v>9</v>
      </c>
      <c r="D59" s="216" t="s">
        <v>65</v>
      </c>
      <c r="E59" s="342">
        <f>'ｼｰﾄNO.4（表-4）60頁'!K64</f>
        <v>41.8</v>
      </c>
      <c r="F59" s="590">
        <f>'ｼｰﾄNO.4（表-4）60頁'!C64/1000</f>
        <v>0.82399999999999995</v>
      </c>
      <c r="G59" s="590">
        <f>'ｼｰﾄNO.4（表-4）60頁'!C64/1000/('ｼｰﾄNO.4（表-4）60頁'!H64/3600)</f>
        <v>24.927731092436975</v>
      </c>
      <c r="H59" s="219">
        <f>-2.71095565/G59-0.09453616*G59+0.00089493*G59^2+3.15403637</f>
        <v>1.2448139350987362</v>
      </c>
      <c r="I59" s="592">
        <v>10000</v>
      </c>
      <c r="J59" s="343">
        <f t="shared" ref="J59" si="322">C59*E59*F59*H59/1000000*I59</f>
        <v>3.8587837796453504</v>
      </c>
      <c r="K59" s="219">
        <f t="shared" ref="K59" si="323">1501.20185/G59-2.40935*G59+0.02115*G59^2+174.47635</f>
        <v>187.78131877798023</v>
      </c>
      <c r="L59" s="592">
        <v>2891</v>
      </c>
      <c r="M59" s="343">
        <f t="shared" ref="M59" si="324">C59*E59*F59*K59/1000000*L59</f>
        <v>168.28541549313667</v>
      </c>
      <c r="N59" s="219">
        <f>-0.25063622/G59-0.00657231*G59+0.00005332*G59^2+0.29056757</f>
        <v>0.14981288928616346</v>
      </c>
      <c r="O59" s="592">
        <v>840100</v>
      </c>
      <c r="P59" s="343">
        <f t="shared" ref="P59" si="325">C59*E59*F59*N59/1000000*O59</f>
        <v>39.014510962231988</v>
      </c>
      <c r="Q59" s="219">
        <f>0.093055673/G59-0.0002682273*G59+0.00000218*G59^2+0.0173678037</f>
        <v>1.5769157934508494E-2</v>
      </c>
      <c r="R59" s="592">
        <v>482200</v>
      </c>
      <c r="S59" s="343">
        <f t="shared" ref="S59" si="326">C59*E59*F59*Q59/1000000*R59</f>
        <v>2.3571201028210909</v>
      </c>
      <c r="T59" s="219">
        <f t="shared" ref="T59" si="327">0.630901162/G59-0.001006579*G59+0.000008915*G59^2+0.0072170055</f>
        <v>1.2974191796488203E-2</v>
      </c>
      <c r="U59" s="592">
        <v>160</v>
      </c>
      <c r="V59" s="343">
        <f t="shared" ref="V59" si="328">C59*E59*F59*T59*U59</f>
        <v>643.49666335411553</v>
      </c>
      <c r="W59" s="598"/>
      <c r="X59" s="598"/>
      <c r="Y59" s="598"/>
      <c r="Z59" s="595"/>
      <c r="AA59" s="66"/>
    </row>
    <row r="60" spans="1:27" ht="15" customHeight="1">
      <c r="A60" s="604"/>
      <c r="B60" s="589"/>
      <c r="C60" s="587"/>
      <c r="D60" s="217" t="s">
        <v>66</v>
      </c>
      <c r="E60" s="344">
        <f>'ｼｰﾄNO.4（表-4）60頁'!K65</f>
        <v>2.2000000000000002</v>
      </c>
      <c r="F60" s="591"/>
      <c r="G60" s="591"/>
      <c r="H60" s="218">
        <f>12.28697452/G59-0.05907844*G59+0.00051753*G59^2+2.69979197</f>
        <v>2.0415932365843594</v>
      </c>
      <c r="I60" s="593"/>
      <c r="J60" s="345">
        <f t="shared" ref="J60" si="329">C59*E60*F59*H60/1000000*I59</f>
        <v>0.33309001973521141</v>
      </c>
      <c r="K60" s="218">
        <f t="shared" ref="K60" si="330">908.52069/G59-23.49889*G59+0.18396*G59^2+1364.81344</f>
        <v>929.79684512079211</v>
      </c>
      <c r="L60" s="593"/>
      <c r="M60" s="345">
        <f t="shared" ref="M60" si="331">C59*E60*F59*K60/1000000*L59</f>
        <v>43.855953920405135</v>
      </c>
      <c r="N60" s="218">
        <f>9.45345681/G59-0.14325844*G59+0.00124097*G59^2+5.98054622</f>
        <v>3.5598014520360097</v>
      </c>
      <c r="O60" s="593"/>
      <c r="P60" s="345">
        <f t="shared" ref="P60" si="332">C59*E60*F59*N60/1000000*O59</f>
        <v>48.792060913481663</v>
      </c>
      <c r="Q60" s="218">
        <f>0.6037810576/G59-0.0052863845*G59+0.000423961*G59^2+0.3189943526</f>
        <v>0.47488392074238339</v>
      </c>
      <c r="R60" s="593"/>
      <c r="S60" s="345">
        <f t="shared" ref="S60" si="333">C59*E60*F59*Q60/1000000*R59</f>
        <v>3.736001766490276</v>
      </c>
      <c r="T60" s="218">
        <f t="shared" ref="T60" si="334">0.2877659/G59-0.008903887*G59+0.000069093*G59^2+0.516185391</f>
        <v>0.34870951917435056</v>
      </c>
      <c r="U60" s="593"/>
      <c r="V60" s="345">
        <f t="shared" ref="V60" si="335">C59*E60*F59*T60*U59</f>
        <v>910.2824875573383</v>
      </c>
      <c r="W60" s="598"/>
      <c r="X60" s="598"/>
      <c r="Y60" s="598"/>
      <c r="Z60" s="595"/>
      <c r="AA60" s="66"/>
    </row>
    <row r="61" spans="1:27" ht="15" customHeight="1">
      <c r="A61" s="604"/>
      <c r="B61" s="588" t="s">
        <v>48</v>
      </c>
      <c r="C61" s="586">
        <f>'ｼｰﾄNO.3（表-3）59頁'!$F$30</f>
        <v>9</v>
      </c>
      <c r="D61" s="216" t="s">
        <v>65</v>
      </c>
      <c r="E61" s="342">
        <f>'ｼｰﾄNO.4（表-4）60頁'!K66</f>
        <v>753.34999999999991</v>
      </c>
      <c r="F61" s="590">
        <f>'ｼｰﾄNO.4（表-4）60頁'!C66/1000</f>
        <v>1.054</v>
      </c>
      <c r="G61" s="590">
        <f>'ｼｰﾄNO.4（表-4）60頁'!C66/1000/('ｼｰﾄNO.4（表-4）60頁'!H66/3600)</f>
        <v>30.6</v>
      </c>
      <c r="H61" s="219">
        <f>-2.71095565/G61-0.09453616*G61+0.00089493*G61^2+3.15403637</f>
        <v>1.0106132069045755</v>
      </c>
      <c r="I61" s="592">
        <v>10000</v>
      </c>
      <c r="J61" s="343">
        <f t="shared" ref="J61" si="336">C61*E61*F61*H61/1000000*I61</f>
        <v>72.221230280729358</v>
      </c>
      <c r="K61" s="219">
        <f t="shared" ref="K61" si="337">1501.20185/G61-2.40935*G61+0.02115*G61^2+174.47635</f>
        <v>169.61313798692811</v>
      </c>
      <c r="L61" s="592">
        <v>2891</v>
      </c>
      <c r="M61" s="343">
        <f t="shared" ref="M61" si="338">C61*E61*F61*K61/1000000*L61</f>
        <v>3504.1887711767467</v>
      </c>
      <c r="N61" s="219">
        <f>-0.25063622/G61-0.00657231*G61+0.00005332*G61^2+0.29056757</f>
        <v>0.13119087305620916</v>
      </c>
      <c r="O61" s="592">
        <v>840100</v>
      </c>
      <c r="P61" s="343">
        <f t="shared" ref="P61" si="339">C61*E61*F61*N61/1000000*O61</f>
        <v>787.61598160113681</v>
      </c>
      <c r="Q61" s="219">
        <f>0.093055673/G61-0.0002682273*G61+0.00000218*G61^2+0.0173678037</f>
        <v>1.4242348185359476E-2</v>
      </c>
      <c r="R61" s="592">
        <v>482200</v>
      </c>
      <c r="S61" s="343">
        <f t="shared" ref="S61" si="340">C61*E61*F61*Q61/1000000*R61</f>
        <v>49.078210364257536</v>
      </c>
      <c r="T61" s="219">
        <f t="shared" ref="T61" si="341">0.630901162/G61-0.001006579*G61+0.000008915*G61^2+0.0072170055</f>
        <v>5.3810225326797346E-3</v>
      </c>
      <c r="U61" s="592">
        <v>160</v>
      </c>
      <c r="V61" s="343">
        <f t="shared" ref="V61" si="342">C61*E61*F61*T61*U61</f>
        <v>6152.6853569433151</v>
      </c>
      <c r="W61" s="598"/>
      <c r="X61" s="598"/>
      <c r="Y61" s="598"/>
      <c r="Z61" s="595"/>
      <c r="AA61" s="66"/>
    </row>
    <row r="62" spans="1:27" ht="15" customHeight="1">
      <c r="A62" s="604"/>
      <c r="B62" s="589"/>
      <c r="C62" s="587"/>
      <c r="D62" s="217" t="s">
        <v>66</v>
      </c>
      <c r="E62" s="344">
        <f>'ｼｰﾄNO.4（表-4）60頁'!K67</f>
        <v>39.650000000000006</v>
      </c>
      <c r="F62" s="591"/>
      <c r="G62" s="591"/>
      <c r="H62" s="218">
        <f>12.28697452/G61-0.05907844*G61+0.00051753*G61^2+2.69979197</f>
        <v>1.7781212118326797</v>
      </c>
      <c r="I62" s="593"/>
      <c r="J62" s="345">
        <f t="shared" ref="J62" si="343">C61*E62*F61*H62/1000000*I61</f>
        <v>6.6878677238238646</v>
      </c>
      <c r="K62" s="218">
        <f t="shared" ref="K62" si="344">908.52069/G61-23.49889*G61+0.18396*G61^2+1364.81344</f>
        <v>847.69041022745091</v>
      </c>
      <c r="L62" s="593"/>
      <c r="M62" s="345">
        <f t="shared" ref="M62" si="345">C61*E62*F61*K62/1000000*L61</f>
        <v>921.74687465362149</v>
      </c>
      <c r="N62" s="218">
        <f>9.45345681/G61-0.14325844*G61+0.00124097*G61^2+5.98054622</f>
        <v>3.0677691222588237</v>
      </c>
      <c r="O62" s="593"/>
      <c r="P62" s="345">
        <f t="shared" ref="P62" si="346">C61*E62*F61*N62/1000000*O61</f>
        <v>969.3485579106931</v>
      </c>
      <c r="Q62" s="218">
        <f>0.6037810576/G61-0.0052863845*G61+0.000423961*G61^2+0.3189943526</f>
        <v>0.57394251597111112</v>
      </c>
      <c r="R62" s="593"/>
      <c r="S62" s="345">
        <f t="shared" ref="S62" si="347">C61*E62*F61*Q62/1000000*R61</f>
        <v>104.09309346591348</v>
      </c>
      <c r="T62" s="218">
        <f t="shared" ref="T62" si="348">0.2877659/G61-0.008903887*G61+0.000069093*G61^2+0.516185391</f>
        <v>0.31782648465908503</v>
      </c>
      <c r="U62" s="593"/>
      <c r="V62" s="345">
        <f t="shared" ref="V62" si="349">C61*E62*F61*T62*U61</f>
        <v>19126.538500372259</v>
      </c>
      <c r="W62" s="598"/>
      <c r="X62" s="598"/>
      <c r="Y62" s="598"/>
      <c r="Z62" s="595"/>
      <c r="AA62" s="66"/>
    </row>
    <row r="63" spans="1:27" ht="15" customHeight="1">
      <c r="A63" s="604"/>
      <c r="B63" s="588" t="s">
        <v>49</v>
      </c>
      <c r="C63" s="586">
        <f>'ｼｰﾄNO.3（表-3）59頁'!$F$30</f>
        <v>9</v>
      </c>
      <c r="D63" s="216" t="s">
        <v>65</v>
      </c>
      <c r="E63" s="342">
        <f>'ｼｰﾄNO.4（表-4）60頁'!K68</f>
        <v>39.9</v>
      </c>
      <c r="F63" s="590">
        <f>'ｼｰﾄNO.4（表-4）60頁'!C68/1000</f>
        <v>0.84799999999999998</v>
      </c>
      <c r="G63" s="590">
        <f>'ｼｰﾄNO.4（表-4）60頁'!C68/1000/('ｼｰﾄNO.4（表-4）60頁'!H68/3600)</f>
        <v>22.613333333333333</v>
      </c>
      <c r="H63" s="219">
        <f>-2.71095565/G63-0.09453616*G63+0.00089493*G63^2+3.15403637</f>
        <v>1.3540095598927391</v>
      </c>
      <c r="I63" s="592">
        <v>10000</v>
      </c>
      <c r="J63" s="343">
        <f t="shared" ref="J63" si="350">C63*E63*F63*H63/1000000*I63</f>
        <v>4.1231865834794519</v>
      </c>
      <c r="K63" s="219">
        <f t="shared" ref="K63" si="351">1501.20185/G63-2.40935*G63+0.02115*G63^2+174.47635</f>
        <v>197.19393451102201</v>
      </c>
      <c r="L63" s="592">
        <v>2891</v>
      </c>
      <c r="M63" s="343">
        <f t="shared" ref="M63" si="352">C63*E63*F63*K63/1000000*L63</f>
        <v>173.60127136519699</v>
      </c>
      <c r="N63" s="219">
        <f>-0.25063622/G63-0.00657231*G63+0.00005332*G63^2+0.29056757</f>
        <v>0.15812804080870232</v>
      </c>
      <c r="O63" s="592">
        <v>840100</v>
      </c>
      <c r="P63" s="343">
        <f t="shared" ref="P63" si="353">C63*E63*F63*N63/1000000*O63</f>
        <v>40.453037045459503</v>
      </c>
      <c r="Q63" s="219">
        <f>0.093055673/G63-0.0002682273*G63+0.00000218*G63^2+0.0173678037</f>
        <v>1.6532141236016248E-2</v>
      </c>
      <c r="R63" s="592">
        <v>482200</v>
      </c>
      <c r="S63" s="343">
        <f t="shared" ref="S63" si="354">C63*E63*F63*Q63/1000000*R63</f>
        <v>2.4275465706850095</v>
      </c>
      <c r="T63" s="219">
        <f t="shared" ref="T63" si="355">0.630901162/G63-0.001006579*G63+0.000008915*G63^2+0.0072170055</f>
        <v>1.6913219530124743E-2</v>
      </c>
      <c r="U63" s="592">
        <v>160</v>
      </c>
      <c r="V63" s="343">
        <f t="shared" ref="V63" si="356">C63*E63*F63*T63*U63</f>
        <v>824.05751824177446</v>
      </c>
      <c r="W63" s="598"/>
      <c r="X63" s="598"/>
      <c r="Y63" s="598"/>
      <c r="Z63" s="595"/>
      <c r="AA63" s="66"/>
    </row>
    <row r="64" spans="1:27" ht="15" customHeight="1">
      <c r="A64" s="604"/>
      <c r="B64" s="589"/>
      <c r="C64" s="587"/>
      <c r="D64" s="217" t="s">
        <v>66</v>
      </c>
      <c r="E64" s="344">
        <f>'ｼｰﾄNO.4（表-4）60頁'!K69</f>
        <v>2.1</v>
      </c>
      <c r="F64" s="591"/>
      <c r="G64" s="591"/>
      <c r="H64" s="218">
        <f>12.28697452/G63-0.05907844*G63+0.00051753*G63^2+2.69979197</f>
        <v>2.1718280043001132</v>
      </c>
      <c r="I64" s="593"/>
      <c r="J64" s="345">
        <f t="shared" ref="J64" si="357">C63*E64*F63*H64/1000000*I63</f>
        <v>0.34808321790518776</v>
      </c>
      <c r="K64" s="218">
        <f t="shared" ref="K64" si="358">908.52069/G63-23.49889*G63+0.18396*G63^2+1364.81344</f>
        <v>967.67184401344969</v>
      </c>
      <c r="L64" s="593"/>
      <c r="M64" s="345">
        <f t="shared" ref="M64" si="359">C63*E64*F63*K64/1000000*L63</f>
        <v>44.8367218856745</v>
      </c>
      <c r="N64" s="218">
        <f>9.45345681/G63-0.14325844*G63+0.00124097*G63^2+5.98054622</f>
        <v>3.7936292257149553</v>
      </c>
      <c r="O64" s="593"/>
      <c r="P64" s="345">
        <f t="shared" ref="P64" si="360">C63*E64*F63*N64/1000000*O63</f>
        <v>51.079133759590775</v>
      </c>
      <c r="Q64" s="218">
        <f>0.6037810576/G63-0.0052863845*G63+0.000423961*G63^2+0.3189943526</f>
        <v>0.4429497043225048</v>
      </c>
      <c r="R64" s="593"/>
      <c r="S64" s="345">
        <f t="shared" ref="S64" si="361">C63*E64*F63*Q64/1000000*R63</f>
        <v>3.4232552162389305</v>
      </c>
      <c r="T64" s="218">
        <f t="shared" ref="T64" si="362">0.2877659/G63-0.008903887*G63+0.000069093*G63^2+0.516185391</f>
        <v>0.3628959160749422</v>
      </c>
      <c r="U64" s="593"/>
      <c r="V64" s="345">
        <f t="shared" ref="V64" si="363">C63*E64*F63*T64*U63</f>
        <v>930.59286817861016</v>
      </c>
      <c r="W64" s="598"/>
      <c r="X64" s="598"/>
      <c r="Y64" s="598"/>
      <c r="Z64" s="595"/>
      <c r="AA64" s="66"/>
    </row>
    <row r="65" spans="1:27" ht="15" customHeight="1">
      <c r="A65" s="604"/>
      <c r="B65" s="588" t="s">
        <v>50</v>
      </c>
      <c r="C65" s="586">
        <f>'ｼｰﾄNO.3（表-3）59頁'!$F$30</f>
        <v>9</v>
      </c>
      <c r="D65" s="216" t="s">
        <v>65</v>
      </c>
      <c r="E65" s="342">
        <f>'ｼｰﾄNO.4（表-4）60頁'!K70</f>
        <v>147.25</v>
      </c>
      <c r="F65" s="590">
        <f>'ｼｰﾄNO.4（表-4）60頁'!C70/1000</f>
        <v>0.91</v>
      </c>
      <c r="G65" s="590">
        <f>'ｼｰﾄNO.4（表-4）60頁'!C70/1000/('ｼｰﾄNO.4（表-4）60頁'!H70/3600)</f>
        <v>30.055045871559635</v>
      </c>
      <c r="H65" s="219">
        <f>-2.71095565/G65-0.09453616*G65+0.00089493*G65^2+3.15403637</f>
        <v>1.030943504144429</v>
      </c>
      <c r="I65" s="592">
        <v>10000</v>
      </c>
      <c r="J65" s="343">
        <f t="shared" ref="J65" si="364">C65*E65*F65*H65/1000000*I65</f>
        <v>12.432946697693382</v>
      </c>
      <c r="K65" s="219">
        <f t="shared" ref="K65" si="365">1501.20185/G65-2.40935*G65+0.02115*G65^2+174.47635</f>
        <v>171.11655572795735</v>
      </c>
      <c r="L65" s="592">
        <v>2891</v>
      </c>
      <c r="M65" s="343">
        <f t="shared" ref="M65" si="366">C65*E65*F65*K65/1000000*L65</f>
        <v>596.59461220292803</v>
      </c>
      <c r="N65" s="219">
        <f>-0.25063622/G65-0.00657231*G65+0.00005332*G65^2+0.29056757</f>
        <v>0.13286151647220723</v>
      </c>
      <c r="O65" s="592">
        <v>840100</v>
      </c>
      <c r="P65" s="343">
        <f t="shared" ref="P65" si="367">C65*E65*F65*N65/1000000*O65</f>
        <v>134.60754236429162</v>
      </c>
      <c r="Q65" s="219">
        <f>0.093055673/G65-0.0002682273*G65+0.00000218*G65^2+0.0173678037</f>
        <v>1.4371601212148963E-2</v>
      </c>
      <c r="R65" s="592">
        <v>482200</v>
      </c>
      <c r="S65" s="343">
        <f t="shared" ref="S65" si="368">C65*E65*F65*Q65/1000000*R65</f>
        <v>8.3574073173375147</v>
      </c>
      <c r="T65" s="219">
        <f t="shared" ref="T65" si="369">0.630901162/G65-0.001006579*G65+0.000008915*G65^2+0.0072170055</f>
        <v>6.0087207101030028E-3</v>
      </c>
      <c r="U65" s="592">
        <v>160</v>
      </c>
      <c r="V65" s="343">
        <f t="shared" ref="V65" si="370">C65*E65*F65*T65*U65</f>
        <v>1159.4211168269189</v>
      </c>
      <c r="W65" s="598"/>
      <c r="X65" s="598"/>
      <c r="Y65" s="598"/>
      <c r="Z65" s="595"/>
      <c r="AA65" s="66"/>
    </row>
    <row r="66" spans="1:27" ht="15" customHeight="1">
      <c r="A66" s="604"/>
      <c r="B66" s="589"/>
      <c r="C66" s="587"/>
      <c r="D66" s="217" t="s">
        <v>66</v>
      </c>
      <c r="E66" s="344">
        <f>'ｼｰﾄNO.4（表-4）60頁'!K71</f>
        <v>7.75</v>
      </c>
      <c r="F66" s="591"/>
      <c r="G66" s="591"/>
      <c r="H66" s="218">
        <f>12.28697452/G65-0.05907844*G65+0.00051753*G65^2+2.69979197</f>
        <v>1.8004902841038075</v>
      </c>
      <c r="I66" s="593"/>
      <c r="J66" s="345">
        <f t="shared" ref="J66" si="371">C65*E66*F65*H66/1000000*I65</f>
        <v>1.1428161955777894</v>
      </c>
      <c r="K66" s="218">
        <f t="shared" ref="K66" si="372">908.52069/G65-23.49889*G65+0.18396*G65^2+1364.81344</f>
        <v>854.95391259522842</v>
      </c>
      <c r="L66" s="593"/>
      <c r="M66" s="345">
        <f t="shared" ref="M66" si="373">C65*E66*F65*K66/1000000*L65</f>
        <v>156.88318586992705</v>
      </c>
      <c r="N66" s="218">
        <f>9.45345681/G65-0.14325844*G65+0.00124097*G65^2+5.98054622</f>
        <v>3.11042070390894</v>
      </c>
      <c r="O66" s="593"/>
      <c r="P66" s="345">
        <f t="shared" ref="P66" si="374">C65*E66*F65*N66/1000000*O65</f>
        <v>165.85773224605546</v>
      </c>
      <c r="Q66" s="218">
        <f>0.6037810576/G65-0.0052863845*G65+0.000423961*G65^2+0.3189943526</f>
        <v>0.56316742112801155</v>
      </c>
      <c r="R66" s="593"/>
      <c r="S66" s="345">
        <f t="shared" ref="S66" si="375">C65*E66*F65*Q66/1000000*R65</f>
        <v>17.236549603125507</v>
      </c>
      <c r="T66" s="218">
        <f t="shared" ref="T66" si="376">0.2877659/G65-0.008903887*G65+0.000069093*G65^2+0.516185391</f>
        <v>0.32056539374004506</v>
      </c>
      <c r="U66" s="593"/>
      <c r="V66" s="345">
        <f t="shared" ref="V66" si="377">C65*E66*F65*T66*U65</f>
        <v>3255.5339126664016</v>
      </c>
      <c r="W66" s="598"/>
      <c r="X66" s="598"/>
      <c r="Y66" s="598"/>
      <c r="Z66" s="595"/>
      <c r="AA66" s="66"/>
    </row>
    <row r="67" spans="1:27" ht="15" customHeight="1">
      <c r="A67" s="604"/>
      <c r="B67" s="588" t="s">
        <v>51</v>
      </c>
      <c r="C67" s="586">
        <f>'ｼｰﾄNO.3（表-3）59頁'!$F$30</f>
        <v>9</v>
      </c>
      <c r="D67" s="216" t="s">
        <v>65</v>
      </c>
      <c r="E67" s="342">
        <f>'ｼｰﾄNO.4（表-4）60頁'!K72</f>
        <v>54.15</v>
      </c>
      <c r="F67" s="590">
        <f>'ｼｰﾄNO.4（表-4）60頁'!C72/1000</f>
        <v>0.76100000000000001</v>
      </c>
      <c r="G67" s="590">
        <f>'ｼｰﾄNO.4（表-4）60頁'!C72/1000/('ｼｰﾄNO.4（表-4）60頁'!H72/3600)</f>
        <v>22.641322314049585</v>
      </c>
      <c r="H67" s="219">
        <f>-2.71095565/G67-0.09453616*G67+0.00089493*G67^2+3.15403637</f>
        <v>1.3526453340932798</v>
      </c>
      <c r="I67" s="592">
        <v>10000</v>
      </c>
      <c r="J67" s="343">
        <f t="shared" ref="J67" si="378">C67*E67*F67*H67/1000000*I67</f>
        <v>5.0166010641704384</v>
      </c>
      <c r="K67" s="219">
        <f t="shared" ref="K67" si="379">1501.20185/G67-2.40935*G67+0.02115*G67^2+174.47635</f>
        <v>197.07122317498113</v>
      </c>
      <c r="L67" s="592">
        <v>2891</v>
      </c>
      <c r="M67" s="343">
        <f t="shared" ref="M67" si="380">C67*E67*F67*K67/1000000*L67</f>
        <v>211.29875152721084</v>
      </c>
      <c r="N67" s="219">
        <f>-0.25063622/G67-0.00657231*G67+0.00005332*G67^2+0.29056757</f>
        <v>0.15802532673956798</v>
      </c>
      <c r="O67" s="592">
        <v>840100</v>
      </c>
      <c r="P67" s="343">
        <f t="shared" ref="P67" si="381">C67*E67*F67*N67/1000000*O67</f>
        <v>49.236061880939722</v>
      </c>
      <c r="Q67" s="219">
        <f>0.093055673/G67-0.0002682273*G67+0.00000218*G67^2+0.0173678037</f>
        <v>1.6522308062949704E-2</v>
      </c>
      <c r="R67" s="592">
        <v>482200</v>
      </c>
      <c r="S67" s="343">
        <f t="shared" ref="S67" si="382">C67*E67*F67*Q67/1000000*R67</f>
        <v>2.9547690999286043</v>
      </c>
      <c r="T67" s="219">
        <f t="shared" ref="T67" si="383">0.630901162/G67-0.001006579*G67+0.000008915*G67^2+0.0072170055</f>
        <v>1.6861849317317577E-2</v>
      </c>
      <c r="U67" s="592">
        <v>160</v>
      </c>
      <c r="V67" s="343">
        <f t="shared" ref="V67" si="384">C67*E67*F67*T67*U67</f>
        <v>1000.5776869614051</v>
      </c>
      <c r="W67" s="598"/>
      <c r="X67" s="598"/>
      <c r="Y67" s="598"/>
      <c r="Z67" s="595"/>
      <c r="AA67" s="66"/>
    </row>
    <row r="68" spans="1:27" ht="15" customHeight="1">
      <c r="A68" s="604"/>
      <c r="B68" s="589"/>
      <c r="C68" s="587"/>
      <c r="D68" s="217" t="s">
        <v>66</v>
      </c>
      <c r="E68" s="344">
        <f>'ｼｰﾄNO.4（表-4）60頁'!K73</f>
        <v>2.85</v>
      </c>
      <c r="F68" s="591"/>
      <c r="G68" s="591"/>
      <c r="H68" s="218">
        <f>12.28697452/G67-0.05907844*G67+0.00051753*G67^2+2.69979197</f>
        <v>2.1701582938483104</v>
      </c>
      <c r="I68" s="593"/>
      <c r="J68" s="345">
        <f t="shared" ref="J68" si="385">C67*E68*F67*H68/1000000*I67</f>
        <v>0.42360730340516178</v>
      </c>
      <c r="K68" s="218">
        <f t="shared" ref="K68" si="386">908.52069/G67-23.49889*G67+0.18396*G67^2+1364.81344</f>
        <v>967.19747801654171</v>
      </c>
      <c r="L68" s="593"/>
      <c r="M68" s="345">
        <f t="shared" ref="M68" si="387">C67*E68*F67*K68/1000000*L67</f>
        <v>54.580218923854325</v>
      </c>
      <c r="N68" s="218">
        <f>9.45345681/G67-0.14325844*G67+0.00124097*G67^2+5.98054622</f>
        <v>3.7906746331889405</v>
      </c>
      <c r="O68" s="593"/>
      <c r="P68" s="345">
        <f t="shared" ref="P68" si="388">C67*E68*F67*N68/1000000*O67</f>
        <v>62.161218631340638</v>
      </c>
      <c r="Q68" s="218">
        <f>0.6037810576/G67-0.0052863845*G67+0.000423961*G67^2+0.3189943526</f>
        <v>0.44330573968938591</v>
      </c>
      <c r="R68" s="593"/>
      <c r="S68" s="345">
        <f t="shared" ref="S68" si="389">C67*E68*F67*Q68/1000000*R67</f>
        <v>4.1725599635692037</v>
      </c>
      <c r="T68" s="218">
        <f t="shared" ref="T68" si="390">0.2877659/G67-0.008903887*G67+0.000069093*G67^2+0.516185391</f>
        <v>0.36271848960200154</v>
      </c>
      <c r="U68" s="593"/>
      <c r="V68" s="345">
        <f t="shared" ref="V68" si="391">C67*E68*F67*T68*U67</f>
        <v>1132.8220744895536</v>
      </c>
      <c r="W68" s="598"/>
      <c r="X68" s="598"/>
      <c r="Y68" s="598"/>
      <c r="Z68" s="595"/>
      <c r="AA68" s="66"/>
    </row>
    <row r="69" spans="1:27" ht="15" customHeight="1">
      <c r="A69" s="604"/>
      <c r="B69" s="588" t="s">
        <v>52</v>
      </c>
      <c r="C69" s="586">
        <f>'ｼｰﾄNO.3（表-3）59頁'!$F$30</f>
        <v>9</v>
      </c>
      <c r="D69" s="216" t="s">
        <v>65</v>
      </c>
      <c r="E69" s="342">
        <f>'ｼｰﾄNO.4（表-4）60頁'!K74</f>
        <v>158.65</v>
      </c>
      <c r="F69" s="590">
        <f>'ｼｰﾄNO.4（表-4）60頁'!C74/1000</f>
        <v>0.84799999999999998</v>
      </c>
      <c r="G69" s="590">
        <f>'ｼｰﾄNO.4（表-4）60頁'!C74/1000/('ｼｰﾄNO.4（表-4）60頁'!H74/3600)</f>
        <v>27.752727272727274</v>
      </c>
      <c r="H69" s="219">
        <f>-2.71095565/G69-0.09453616*G69+0.00089493*G69^2+3.15403637</f>
        <v>1.1220051084994243</v>
      </c>
      <c r="I69" s="592">
        <v>10000</v>
      </c>
      <c r="J69" s="343">
        <f t="shared" ref="J69" si="392">C69*E69*F69*H69/1000000*I69</f>
        <v>13.585426350569257</v>
      </c>
      <c r="K69" s="219">
        <f t="shared" ref="K69" si="393">1501.20185/G69-2.40935*G69+0.02115*G69^2+174.47635</f>
        <v>177.99238771086846</v>
      </c>
      <c r="L69" s="592">
        <v>2891</v>
      </c>
      <c r="M69" s="343">
        <f t="shared" ref="M69" si="394">C69*E69*F69*K69/1000000*L69</f>
        <v>623.0572570462441</v>
      </c>
      <c r="N69" s="219">
        <f>-0.25063622/G69-0.00657231*G69+0.00005332*G69^2+0.29056757</f>
        <v>0.14020479834032479</v>
      </c>
      <c r="O69" s="592">
        <v>840100</v>
      </c>
      <c r="P69" s="343">
        <f t="shared" ref="P69" si="395">C69*E69*F69*N69/1000000*O69</f>
        <v>142.6173294602321</v>
      </c>
      <c r="Q69" s="219">
        <f>0.093055673/G69-0.0002682273*G69+0.00000218*G69^2+0.0173678037</f>
        <v>1.4955858884601478E-2</v>
      </c>
      <c r="R69" s="592">
        <v>482200</v>
      </c>
      <c r="S69" s="343">
        <f t="shared" ref="S69" si="396">C69*E69*F69*Q69/1000000*R69</f>
        <v>8.7320658654652625</v>
      </c>
      <c r="T69" s="219">
        <f t="shared" ref="T69" si="397">0.630901162/G69-0.001006579*G69+0.000008915*G69^2+0.0072170055</f>
        <v>8.8810925083286883E-3</v>
      </c>
      <c r="U69" s="592">
        <v>160</v>
      </c>
      <c r="V69" s="343">
        <f t="shared" ref="V69" si="398">C69*E69*F69*T69*U69</f>
        <v>1720.5401618301628</v>
      </c>
      <c r="W69" s="598"/>
      <c r="X69" s="598"/>
      <c r="Y69" s="598"/>
      <c r="Z69" s="595"/>
      <c r="AA69" s="66"/>
    </row>
    <row r="70" spans="1:27" ht="15" customHeight="1">
      <c r="A70" s="604"/>
      <c r="B70" s="589"/>
      <c r="C70" s="587"/>
      <c r="D70" s="217" t="s">
        <v>66</v>
      </c>
      <c r="E70" s="344">
        <f>'ｼｰﾄNO.4（表-4）60頁'!K75</f>
        <v>8.35</v>
      </c>
      <c r="F70" s="591"/>
      <c r="G70" s="591"/>
      <c r="H70" s="218">
        <f>12.28697452/G69-0.05907844*G69+0.00051753*G69^2+2.69979197</f>
        <v>1.9015432666737011</v>
      </c>
      <c r="I70" s="593"/>
      <c r="J70" s="345">
        <f t="shared" ref="J70" si="399">C69*E70*F69*H70/1000000*I69</f>
        <v>1.2118002806396826</v>
      </c>
      <c r="K70" s="218">
        <f t="shared" ref="K70" si="400">908.52069/G69-23.49889*G69+0.18396*G69^2+1364.81344</f>
        <v>887.07996534181075</v>
      </c>
      <c r="L70" s="593"/>
      <c r="M70" s="345">
        <f t="shared" ref="M70" si="401">C69*E70*F69*K70/1000000*L69</f>
        <v>163.43147476395285</v>
      </c>
      <c r="N70" s="218">
        <f>9.45345681/G69-0.14325844*G69+0.00124097*G69^2+5.98054622</f>
        <v>3.3011777457107159</v>
      </c>
      <c r="O70" s="593"/>
      <c r="P70" s="345">
        <f t="shared" ref="P70" si="402">C69*E70*F69*N70/1000000*O69</f>
        <v>176.73588160806659</v>
      </c>
      <c r="Q70" s="218">
        <f>0.6037810576/G69-0.0052863845*G69+0.000423961*G69^2+0.3189943526</f>
        <v>0.52057914610079359</v>
      </c>
      <c r="R70" s="593"/>
      <c r="S70" s="345">
        <f t="shared" ref="S70" si="403">C69*E70*F69*Q70/1000000*R69</f>
        <v>15.997009765500021</v>
      </c>
      <c r="T70" s="218">
        <f t="shared" ref="T70" si="404">0.2877659/G69-0.008903887*G69+0.000069093*G69^2+0.516185391</f>
        <v>0.33266355369950334</v>
      </c>
      <c r="U70" s="593"/>
      <c r="V70" s="345">
        <f t="shared" ref="V70" si="405">C69*E70*F69*T70*U69</f>
        <v>3391.9546910910376</v>
      </c>
      <c r="W70" s="598"/>
      <c r="X70" s="598"/>
      <c r="Y70" s="598"/>
      <c r="Z70" s="595"/>
      <c r="AA70" s="66"/>
    </row>
    <row r="71" spans="1:27" ht="15" customHeight="1">
      <c r="A71" s="604"/>
      <c r="B71" s="588" t="s">
        <v>53</v>
      </c>
      <c r="C71" s="586">
        <f>'ｼｰﾄNO.3（表-3）59頁'!$F$30</f>
        <v>9</v>
      </c>
      <c r="D71" s="216" t="s">
        <v>65</v>
      </c>
      <c r="E71" s="342">
        <f>'ｼｰﾄNO.4（表-4）60頁'!K76</f>
        <v>738.15</v>
      </c>
      <c r="F71" s="590">
        <f>'ｼｰﾄNO.4（表-4）60頁'!C76/1000</f>
        <v>0.61699999999999999</v>
      </c>
      <c r="G71" s="590">
        <f>'ｼｰﾄNO.4（表-4）60頁'!C76/1000/('ｼｰﾄNO.4（表-4）60頁'!H76/3600)</f>
        <v>27.087804878048779</v>
      </c>
      <c r="H71" s="219">
        <f>-2.71095565/G71-0.09453616*G71+0.00089493*G71^2+3.15403637</f>
        <v>1.1498331610692509</v>
      </c>
      <c r="I71" s="592">
        <v>10000</v>
      </c>
      <c r="J71" s="343">
        <f t="shared" ref="J71" si="406">C71*E71*F71*H71/1000000*I71</f>
        <v>47.131051285736646</v>
      </c>
      <c r="K71" s="219">
        <f t="shared" ref="K71" si="407">1501.20185/G71-2.40935*G71+0.02115*G71^2+174.47635</f>
        <v>180.15098372041632</v>
      </c>
      <c r="L71" s="592">
        <v>2891</v>
      </c>
      <c r="M71" s="343">
        <f t="shared" ref="M71" si="408">C71*E71*F71*K71/1000000*L71</f>
        <v>2134.7991793275273</v>
      </c>
      <c r="N71" s="219">
        <f>-0.25063622/G71-0.00657231*G71+0.00005332*G71^2+0.29056757</f>
        <v>0.14240889225716619</v>
      </c>
      <c r="O71" s="592">
        <v>840100</v>
      </c>
      <c r="P71" s="343">
        <f t="shared" ref="P71" si="409">C71*E71*F71*N71/1000000*O71</f>
        <v>490.3886280885846</v>
      </c>
      <c r="Q71" s="219">
        <f>0.093055673/G71-0.0002682273*G71+0.00000218*G71^2+0.0173678037</f>
        <v>1.5137022719626959E-2</v>
      </c>
      <c r="R71" s="592">
        <v>482200</v>
      </c>
      <c r="S71" s="343">
        <f t="shared" ref="S71" si="410">C71*E71*F71*Q71/1000000*R71</f>
        <v>29.918510369013028</v>
      </c>
      <c r="T71" s="219">
        <f t="shared" ref="T71" si="411">0.630901162/G71-0.001006579*G71+0.000008915*G71^2+0.0072170055</f>
        <v>9.7833305544376171E-3</v>
      </c>
      <c r="U71" s="592">
        <v>160</v>
      </c>
      <c r="V71" s="343">
        <f t="shared" ref="V71" si="412">C71*E71*F71*T71*U71</f>
        <v>6416.2164699126197</v>
      </c>
      <c r="W71" s="598"/>
      <c r="X71" s="598"/>
      <c r="Y71" s="598"/>
      <c r="Z71" s="595"/>
      <c r="AA71" s="66"/>
    </row>
    <row r="72" spans="1:27" ht="15" customHeight="1">
      <c r="A72" s="604"/>
      <c r="B72" s="589"/>
      <c r="C72" s="587"/>
      <c r="D72" s="217" t="s">
        <v>66</v>
      </c>
      <c r="E72" s="344">
        <f>'ｼｰﾄNO.4（表-4）60頁'!K77</f>
        <v>38.85</v>
      </c>
      <c r="F72" s="591"/>
      <c r="G72" s="591"/>
      <c r="H72" s="218">
        <f>12.28697452/G71-0.05907844*G71+0.00051753*G71^2+2.69979197</f>
        <v>1.9328219392155921</v>
      </c>
      <c r="I72" s="593"/>
      <c r="J72" s="345">
        <f t="shared" ref="J72" si="413">C71*E72*F71*H72/1000000*I71</f>
        <v>4.1697550487583355</v>
      </c>
      <c r="K72" s="218">
        <f t="shared" ref="K72" si="414">908.52069/G71-23.49889*G71+0.18396*G71^2+1364.81344</f>
        <v>896.80043250303515</v>
      </c>
      <c r="L72" s="593"/>
      <c r="M72" s="345">
        <f t="shared" ref="M72" si="415">C71*E72*F71*K72/1000000*L71</f>
        <v>559.3228955982205</v>
      </c>
      <c r="N72" s="218">
        <f>9.45345681/G71-0.14325844*G71+0.00124097*G71^2+5.98054622</f>
        <v>3.3595433546140332</v>
      </c>
      <c r="O72" s="593"/>
      <c r="P72" s="345">
        <f t="shared" ref="P72" si="416">C71*E72*F71*N72/1000000*O71</f>
        <v>608.87750778424038</v>
      </c>
      <c r="Q72" s="218">
        <f>0.6037810576/G71-0.0052863845*G71+0.000423961*G71^2+0.3189943526</f>
        <v>0.50916860825670229</v>
      </c>
      <c r="R72" s="593"/>
      <c r="S72" s="345">
        <f t="shared" ref="S72" si="417">C71*E72*F71*Q72/1000000*R71</f>
        <v>52.967261889381859</v>
      </c>
      <c r="T72" s="218">
        <f t="shared" ref="T72" si="418">0.2877659/G71-0.008903887*G71+0.000069093*G71^2+0.516185391</f>
        <v>0.33631901740188841</v>
      </c>
      <c r="U72" s="593"/>
      <c r="V72" s="345">
        <f t="shared" ref="V72" si="419">C71*E72*F71*T72*U71</f>
        <v>11608.874194580781</v>
      </c>
      <c r="W72" s="598"/>
      <c r="X72" s="598"/>
      <c r="Y72" s="598"/>
      <c r="Z72" s="595"/>
      <c r="AA72" s="66"/>
    </row>
    <row r="73" spans="1:27" ht="15" customHeight="1">
      <c r="A73" s="604"/>
      <c r="B73" s="588" t="s">
        <v>54</v>
      </c>
      <c r="C73" s="586">
        <f>'ｼｰﾄNO.3（表-3）59頁'!$F$30</f>
        <v>9</v>
      </c>
      <c r="D73" s="216" t="s">
        <v>65</v>
      </c>
      <c r="E73" s="342">
        <f>'ｼｰﾄNO.4（表-4）60頁'!K78</f>
        <v>133</v>
      </c>
      <c r="F73" s="590">
        <f>'ｼｰﾄNO.4（表-4）60頁'!C78/1000</f>
        <v>0.82399999999999995</v>
      </c>
      <c r="G73" s="590">
        <f>'ｼｰﾄNO.4（表-4）60頁'!C78/1000/('ｼｰﾄNO.4（表-4）60頁'!H78/3600)</f>
        <v>28.523076923076921</v>
      </c>
      <c r="H73" s="219">
        <f>-2.71095565/G73-0.09453616*G73+0.00089493*G73^2+3.15403637</f>
        <v>1.090614460615126</v>
      </c>
      <c r="I73" s="592">
        <v>10000</v>
      </c>
      <c r="J73" s="343">
        <f t="shared" ref="J73" si="420">C73*E73*F73*H73/1000000*I73</f>
        <v>10.757035797095959</v>
      </c>
      <c r="K73" s="219">
        <f t="shared" ref="K73" si="421">1501.20185/G73-2.40935*G73+0.02115*G73^2+174.47635</f>
        <v>175.59232658424133</v>
      </c>
      <c r="L73" s="592">
        <v>2891</v>
      </c>
      <c r="M73" s="343">
        <f t="shared" ref="M73" si="422">C73*E73*F73*K73/1000000*L73</f>
        <v>500.69699740136997</v>
      </c>
      <c r="N73" s="219">
        <f>-0.25063622/G73-0.00657231*G73+0.00005332*G73^2+0.29056757</f>
        <v>0.1376972627690112</v>
      </c>
      <c r="O73" s="592">
        <v>840100</v>
      </c>
      <c r="P73" s="343">
        <f t="shared" ref="P73" si="423">C73*E73*F73*N73/1000000*O73</f>
        <v>114.0979007322232</v>
      </c>
      <c r="Q73" s="219">
        <f>0.093055673/G73-0.0002682273*G73+0.00000218*G73^2+0.0173678037</f>
        <v>1.4753179146136358E-2</v>
      </c>
      <c r="R73" s="592">
        <v>482200</v>
      </c>
      <c r="S73" s="343">
        <f t="shared" ref="S73" si="424">C73*E73*F73*Q73/1000000*R73</f>
        <v>7.0167206089060548</v>
      </c>
      <c r="T73" s="219">
        <f t="shared" ref="T73" si="425">0.630901162/G73-0.001006579*G73+0.000008915*G73^2+0.0072170055</f>
        <v>7.8781881831032213E-3</v>
      </c>
      <c r="U73" s="592">
        <v>160</v>
      </c>
      <c r="V73" s="343">
        <f t="shared" ref="V73" si="426">C73*E73*F73*T73*U73</f>
        <v>1243.2764150822136</v>
      </c>
      <c r="W73" s="598"/>
      <c r="X73" s="598"/>
      <c r="Y73" s="598"/>
      <c r="Z73" s="595"/>
      <c r="AA73" s="66"/>
    </row>
    <row r="74" spans="1:27" ht="15" customHeight="1">
      <c r="A74" s="604"/>
      <c r="B74" s="589"/>
      <c r="C74" s="587"/>
      <c r="D74" s="217" t="s">
        <v>66</v>
      </c>
      <c r="E74" s="344">
        <f>'ｼｰﾄNO.4（表-4）60頁'!K79</f>
        <v>7</v>
      </c>
      <c r="F74" s="591"/>
      <c r="G74" s="591"/>
      <c r="H74" s="218">
        <f>12.28697452/G73-0.05907844*G73+0.00051753*G73^2+2.69979197</f>
        <v>1.8665109593380467</v>
      </c>
      <c r="I74" s="593"/>
      <c r="J74" s="345">
        <f t="shared" ref="J74" si="427">C73*E74*F73*H74/1000000*I73</f>
        <v>0.96894316921156676</v>
      </c>
      <c r="K74" s="218">
        <f t="shared" ref="K74" si="428">908.52069/G73-23.49889*G73+0.18396*G73^2+1364.81344</f>
        <v>876.06850679459603</v>
      </c>
      <c r="L74" s="593"/>
      <c r="M74" s="345">
        <f t="shared" ref="M74" si="429">C73*E74*F73*K74/1000000*L73</f>
        <v>131.47825192676862</v>
      </c>
      <c r="N74" s="218">
        <f>9.45345681/G73-0.14325844*G73+0.00124097*G73^2+5.98054622</f>
        <v>3.2354174852760047</v>
      </c>
      <c r="O74" s="593"/>
      <c r="P74" s="345">
        <f t="shared" ref="P74" si="430">C73*E74*F73*N74/1000000*O73</f>
        <v>141.10066939559385</v>
      </c>
      <c r="Q74" s="218">
        <f>0.6037810576/G73-0.0052863845*G73+0.000423961*G73^2+0.3189943526</f>
        <v>0.53429878072260373</v>
      </c>
      <c r="R74" s="593"/>
      <c r="S74" s="345">
        <f t="shared" ref="S74" si="431">C73*E74*F73*Q74/1000000*R73</f>
        <v>13.374549126609184</v>
      </c>
      <c r="T74" s="218">
        <f t="shared" ref="T74" si="432">0.2877659/G73-0.008903887*G73+0.000069093*G73^2+0.516185391</f>
        <v>0.32851972708814747</v>
      </c>
      <c r="U74" s="593"/>
      <c r="V74" s="345">
        <f t="shared" ref="V74" si="433">C73*E74*F73*T74*U73</f>
        <v>2728.6585716159857</v>
      </c>
      <c r="W74" s="598"/>
      <c r="X74" s="598"/>
      <c r="Y74" s="598"/>
      <c r="Z74" s="595"/>
      <c r="AA74" s="66"/>
    </row>
    <row r="75" spans="1:27" ht="15" customHeight="1">
      <c r="A75" s="604"/>
      <c r="B75" s="588" t="s">
        <v>55</v>
      </c>
      <c r="C75" s="586">
        <f>'ｼｰﾄNO.3（表-3）59頁'!$F$30</f>
        <v>9</v>
      </c>
      <c r="D75" s="216" t="s">
        <v>65</v>
      </c>
      <c r="E75" s="342">
        <f>'ｼｰﾄNO.4（表-4）60頁'!K80</f>
        <v>47.5</v>
      </c>
      <c r="F75" s="590">
        <f>'ｼｰﾄNO.4（表-4）60頁'!C80/1000</f>
        <v>0.91</v>
      </c>
      <c r="G75" s="590">
        <f>'ｼｰﾄNO.4（表-4）60頁'!C80/1000/('ｼｰﾄNO.4（表-4）60頁'!H80/3600)</f>
        <v>22.90909090909091</v>
      </c>
      <c r="H75" s="219">
        <f>-2.71095565/G75-0.09453616*G75+0.00089493*G75^2+3.15403637</f>
        <v>1.3396464522592815</v>
      </c>
      <c r="I75" s="592">
        <v>10000</v>
      </c>
      <c r="J75" s="343">
        <f t="shared" ref="J75" si="434">C75*E75*F75*H75/1000000*I75</f>
        <v>5.21155961090167</v>
      </c>
      <c r="K75" s="219">
        <f t="shared" ref="K75" si="435">1501.20185/G75-2.40935*G75+0.02115*G75^2+174.47635</f>
        <v>195.90906333956445</v>
      </c>
      <c r="L75" s="592">
        <v>2891</v>
      </c>
      <c r="M75" s="343">
        <f t="shared" ref="M75" si="436">C75*E75*F75*K75/1000000*L75</f>
        <v>220.33329605016377</v>
      </c>
      <c r="N75" s="219">
        <f>-0.25063622/G75-0.00657231*G75+0.00005332*G75^2+0.29056757</f>
        <v>0.15704519892234028</v>
      </c>
      <c r="O75" s="592">
        <v>840100</v>
      </c>
      <c r="P75" s="343">
        <f t="shared" ref="P75" si="437">C75*E75*F75*N75/1000000*O75</f>
        <v>51.325496599892354</v>
      </c>
      <c r="Q75" s="219">
        <f>0.093055673/G75-0.0002682273*G75+0.00000218*G75^2+0.0173678037</f>
        <v>1.6429035733051291E-2</v>
      </c>
      <c r="R75" s="592">
        <v>482200</v>
      </c>
      <c r="S75" s="343">
        <f t="shared" ref="S75" si="438">C75*E75*F75*Q75/1000000*R75</f>
        <v>3.0818875728814445</v>
      </c>
      <c r="T75" s="219">
        <f t="shared" ref="T75" si="439">0.630901162/G75-0.001006579*G75+0.000008915*G75^2+0.0072170055</f>
        <v>1.6375359886921154E-2</v>
      </c>
      <c r="U75" s="592">
        <v>160</v>
      </c>
      <c r="V75" s="343">
        <f t="shared" ref="V75" si="440">C75*E75*F75*T75*U75</f>
        <v>1019.2679008015203</v>
      </c>
      <c r="W75" s="598"/>
      <c r="X75" s="598"/>
      <c r="Y75" s="598"/>
      <c r="Z75" s="595"/>
      <c r="AA75" s="66"/>
    </row>
    <row r="76" spans="1:27" ht="15" customHeight="1">
      <c r="A76" s="604"/>
      <c r="B76" s="589"/>
      <c r="C76" s="587"/>
      <c r="D76" s="217" t="s">
        <v>66</v>
      </c>
      <c r="E76" s="344">
        <f>'ｼｰﾄNO.4（表-4）60頁'!K81</f>
        <v>2.5</v>
      </c>
      <c r="F76" s="591"/>
      <c r="G76" s="591"/>
      <c r="H76" s="218">
        <f>12.28697452/G75-0.05907844*G75+0.00051753*G75^2+2.69979197</f>
        <v>2.154308237381608</v>
      </c>
      <c r="I76" s="593"/>
      <c r="J76" s="345">
        <f t="shared" ref="J76" si="441">C75*E76*F75*H76/1000000*I75</f>
        <v>0.4410946116038843</v>
      </c>
      <c r="K76" s="218">
        <f t="shared" ref="K76" si="442">908.52069/G75-23.49889*G75+0.18396*G75^2+1364.81344</f>
        <v>962.67995495179059</v>
      </c>
      <c r="L76" s="593"/>
      <c r="M76" s="345">
        <f t="shared" ref="M76" si="443">C75*E76*F75*K76/1000000*L75</f>
        <v>56.9841311764512</v>
      </c>
      <c r="N76" s="218">
        <f>9.45345681/G75-0.14325844*G75+0.00124097*G75^2+5.98054622</f>
        <v>3.7625703620867768</v>
      </c>
      <c r="O76" s="593"/>
      <c r="P76" s="345">
        <f t="shared" ref="P76" si="444">C75*E76*F75*N76/1000000*O75</f>
        <v>64.720151520346846</v>
      </c>
      <c r="Q76" s="218">
        <f>0.6037810576/G75-0.0052863845*G75+0.000423961*G75^2+0.3189943526</f>
        <v>0.44674955685638201</v>
      </c>
      <c r="R76" s="593"/>
      <c r="S76" s="345">
        <f t="shared" ref="S76" si="445">C75*E76*F75*Q76/1000000*R75</f>
        <v>4.4107784785731186</v>
      </c>
      <c r="T76" s="218">
        <f t="shared" ref="T76" si="446">0.2877659/G75-0.008903887*G75+0.000069093*G75^2+0.516185391</f>
        <v>0.3610284778462548</v>
      </c>
      <c r="U76" s="593"/>
      <c r="V76" s="345">
        <f t="shared" ref="V76" si="447">C75*E76*F75*T76*U75</f>
        <v>1182.729293424331</v>
      </c>
      <c r="W76" s="598"/>
      <c r="X76" s="598"/>
      <c r="Y76" s="598"/>
      <c r="Z76" s="595"/>
      <c r="AA76" s="66"/>
    </row>
    <row r="77" spans="1:27" ht="15" customHeight="1">
      <c r="A77" s="604"/>
      <c r="B77" s="588" t="s">
        <v>56</v>
      </c>
      <c r="C77" s="586">
        <f>'ｼｰﾄNO.3（表-3）59頁'!$F$30</f>
        <v>9</v>
      </c>
      <c r="D77" s="216" t="s">
        <v>65</v>
      </c>
      <c r="E77" s="342">
        <f>'ｼｰﾄNO.4（表-4）60頁'!K82</f>
        <v>743.84999999999991</v>
      </c>
      <c r="F77" s="590">
        <f>'ｼｰﾄNO.4（表-4）60頁'!C82/1000</f>
        <v>0.61699999999999999</v>
      </c>
      <c r="G77" s="590">
        <f>'ｼｰﾄNO.4（表-4）60頁'!C82/1000/('ｼｰﾄNO.4（表-4）60頁'!H82/3600)</f>
        <v>27.087804878048779</v>
      </c>
      <c r="H77" s="219">
        <f>-2.71095565/G77-0.09453616*G77+0.00089493*G77^2+3.15403637</f>
        <v>1.1498331610692509</v>
      </c>
      <c r="I77" s="592">
        <v>10000</v>
      </c>
      <c r="J77" s="343">
        <f t="shared" ref="J77" si="448">C77*E77*F77*H77/1000000*I77</f>
        <v>47.494997627711449</v>
      </c>
      <c r="K77" s="219">
        <f t="shared" ref="K77" si="449">1501.20185/G77-2.40935*G77+0.02115*G77^2+174.47635</f>
        <v>180.15098372041632</v>
      </c>
      <c r="L77" s="592">
        <v>2891</v>
      </c>
      <c r="M77" s="343">
        <f t="shared" ref="M77" si="450">C77*E77*F77*K77/1000000*L77</f>
        <v>2151.2841150752306</v>
      </c>
      <c r="N77" s="219">
        <f>-0.25063622/G77-0.00657231*G77+0.00005332*G77^2+0.29056757</f>
        <v>0.14240889225716619</v>
      </c>
      <c r="O77" s="592">
        <v>840100</v>
      </c>
      <c r="P77" s="343">
        <f t="shared" ref="P77" si="451">C77*E77*F77*N77/1000000*O77</f>
        <v>494.17541286146945</v>
      </c>
      <c r="Q77" s="219">
        <f>0.093055673/G77-0.0002682273*G77+0.00000218*G77^2+0.0173678037</f>
        <v>1.5137022719626959E-2</v>
      </c>
      <c r="R77" s="592">
        <v>482200</v>
      </c>
      <c r="S77" s="343">
        <f t="shared" ref="S77" si="452">C77*E77*F77*Q77/1000000*R77</f>
        <v>30.149541337113515</v>
      </c>
      <c r="T77" s="219">
        <f t="shared" ref="T77" si="453">0.630901162/G77-0.001006579*G77+0.000008915*G77^2+0.0072170055</f>
        <v>9.7833305544376171E-3</v>
      </c>
      <c r="U77" s="592">
        <v>160</v>
      </c>
      <c r="V77" s="343">
        <f t="shared" ref="V77" si="454">C77*E77*F77*T77*U77</f>
        <v>6465.7625430393591</v>
      </c>
      <c r="W77" s="598"/>
      <c r="X77" s="598"/>
      <c r="Y77" s="598"/>
      <c r="Z77" s="595"/>
      <c r="AA77" s="66"/>
    </row>
    <row r="78" spans="1:27" ht="15" customHeight="1">
      <c r="A78" s="605"/>
      <c r="B78" s="589"/>
      <c r="C78" s="587"/>
      <c r="D78" s="217" t="s">
        <v>66</v>
      </c>
      <c r="E78" s="344">
        <f>'ｼｰﾄNO.4（表-4）60頁'!K83</f>
        <v>39.150000000000006</v>
      </c>
      <c r="F78" s="591"/>
      <c r="G78" s="591"/>
      <c r="H78" s="218">
        <f>12.28697452/G77-0.05907844*G77+0.00051753*G77^2+2.69979197</f>
        <v>1.9328219392155921</v>
      </c>
      <c r="I78" s="593"/>
      <c r="J78" s="345">
        <f t="shared" ref="J78" si="455">C77*E78*F77*H78/1000000*I77</f>
        <v>4.2019539294437278</v>
      </c>
      <c r="K78" s="218">
        <f t="shared" ref="K78" si="456">908.52069/G77-23.49889*G77+0.18396*G77^2+1364.81344</f>
        <v>896.80043250303515</v>
      </c>
      <c r="L78" s="593"/>
      <c r="M78" s="345">
        <f t="shared" ref="M78" si="457">C77*E78*F77*K78/1000000*L77</f>
        <v>563.64199131712564</v>
      </c>
      <c r="N78" s="218">
        <f>9.45345681/G77-0.14325844*G77+0.00124097*G77^2+5.98054622</f>
        <v>3.3595433546140332</v>
      </c>
      <c r="O78" s="593"/>
      <c r="P78" s="345">
        <f t="shared" ref="P78" si="458">C77*E78*F77*N78/1000000*O77</f>
        <v>613.57926460110696</v>
      </c>
      <c r="Q78" s="218">
        <f>0.6037810576/G77-0.0052863845*G77+0.000423961*G77^2+0.3189943526</f>
        <v>0.50916860825670229</v>
      </c>
      <c r="R78" s="593"/>
      <c r="S78" s="345">
        <f t="shared" ref="S78" si="459">C77*E78*F77*Q78/1000000*R77</f>
        <v>53.376275494705276</v>
      </c>
      <c r="T78" s="218">
        <f t="shared" ref="T78" si="460">0.2877659/G77-0.008903887*G77+0.000069093*G77^2+0.516185391</f>
        <v>0.33631901740188841</v>
      </c>
      <c r="U78" s="593"/>
      <c r="V78" s="345">
        <f t="shared" ref="V78" si="461">C77*E78*F77*T78*U77</f>
        <v>11698.51801075515</v>
      </c>
      <c r="W78" s="599"/>
      <c r="X78" s="599"/>
      <c r="Y78" s="599"/>
      <c r="Z78" s="595"/>
      <c r="AA78" s="66"/>
    </row>
    <row r="79" spans="1:27" ht="15" customHeight="1">
      <c r="A79" s="603" t="s">
        <v>930</v>
      </c>
      <c r="B79" s="588" t="s">
        <v>45</v>
      </c>
      <c r="C79" s="586">
        <f>'ｼｰﾄNO.3（表-3）59頁'!$F$30</f>
        <v>9</v>
      </c>
      <c r="D79" s="216" t="s">
        <v>65</v>
      </c>
      <c r="E79" s="342">
        <f>'ｼｰﾄNO.4（表-4）60頁'!W6</f>
        <v>772.34999999999991</v>
      </c>
      <c r="F79" s="590">
        <f>'ｼｰﾄNO.4（表-4）60頁'!O6/1000</f>
        <v>1.054</v>
      </c>
      <c r="G79" s="590">
        <f>'ｼｰﾄNO.4（表-4）60頁'!O6/1000/('ｼｰﾄNO.4（表-4）60頁'!T6/3600)</f>
        <v>29.643750000000001</v>
      </c>
      <c r="H79" s="219">
        <f>-2.71095565/G79-0.09453616*G79+0.00089493*G79^2+3.15403637</f>
        <v>1.0466003564631281</v>
      </c>
      <c r="I79" s="592">
        <v>10000</v>
      </c>
      <c r="J79" s="343">
        <f>C79*E79*F79*H79/1000000*I79</f>
        <v>76.679301754914221</v>
      </c>
      <c r="K79" s="219">
        <f>1501.20185/G79-2.40935*G79+0.02115*G79^2+174.47635</f>
        <v>172.28121255158959</v>
      </c>
      <c r="L79" s="592">
        <v>2891</v>
      </c>
      <c r="M79" s="343">
        <f>C79*E79*F79*K79/1000000*L79</f>
        <v>3649.0791427542326</v>
      </c>
      <c r="N79" s="219">
        <f>-0.25063622/G79-0.00657231*G79+0.00005332*G79^2+0.29056757</f>
        <v>0.13413976437914132</v>
      </c>
      <c r="O79" s="592">
        <v>840100</v>
      </c>
      <c r="P79" s="343">
        <f>C79*E79*F79*N79/1000000*O79</f>
        <v>825.63062738522092</v>
      </c>
      <c r="Q79" s="219">
        <f>0.093055673/G79-0.0002682273*G79+0.00000218*G79^2+0.0173678037</f>
        <v>1.4471352818974903E-2</v>
      </c>
      <c r="R79" s="592">
        <v>482200</v>
      </c>
      <c r="S79" s="343">
        <f>C79*E79*F79*Q79/1000000*R79</f>
        <v>51.12503392653209</v>
      </c>
      <c r="T79" s="219">
        <f>0.630901162/G79-0.001006579*G79+0.000008915*G79^2+0.0072170055</f>
        <v>6.4950742292543343E-3</v>
      </c>
      <c r="U79" s="592">
        <v>160</v>
      </c>
      <c r="V79" s="343">
        <f>C79*E79*F79*T79*U79</f>
        <v>7613.7983889648076</v>
      </c>
      <c r="W79" s="597">
        <f>SUM(J79:J102)+SUM(M79:M102)+SUM(P79:P102)+SUM(S79:S102)+SUM(V79:V102)</f>
        <v>140897.94643641738</v>
      </c>
      <c r="X79" s="597">
        <f>'ｼｰﾄNO.3（表-3）59頁'!F38</f>
        <v>18</v>
      </c>
      <c r="Y79" s="597">
        <f>W79*X79</f>
        <v>2536163.0358555126</v>
      </c>
      <c r="Z79" s="595"/>
      <c r="AA79" s="66"/>
    </row>
    <row r="80" spans="1:27" ht="15" customHeight="1">
      <c r="A80" s="604"/>
      <c r="B80" s="589"/>
      <c r="C80" s="587"/>
      <c r="D80" s="217" t="s">
        <v>66</v>
      </c>
      <c r="E80" s="344">
        <f>'ｼｰﾄNO.4（表-4）60頁'!W7</f>
        <v>40.650000000000006</v>
      </c>
      <c r="F80" s="591"/>
      <c r="G80" s="591"/>
      <c r="H80" s="218">
        <f>12.28697452/G79-0.05907844*G79+0.00051753*G79^2+2.69979197</f>
        <v>1.8177538030136606</v>
      </c>
      <c r="I80" s="593"/>
      <c r="J80" s="345">
        <f>C79*E80*F79*H80/1000000*I79</f>
        <v>7.0093659118950544</v>
      </c>
      <c r="K80" s="218">
        <f>908.52069/G79-23.49889*G79+0.18396*G79^2+1364.81344</f>
        <v>860.52138928887075</v>
      </c>
      <c r="L80" s="593"/>
      <c r="M80" s="345">
        <f>C79*E80*F79*K80/1000000*L79</f>
        <v>959.29776275628376</v>
      </c>
      <c r="N80" s="218">
        <f>9.45345681/G79-0.14325844*G79+0.00124097*G79^2+5.98054622</f>
        <v>3.1432357925564749</v>
      </c>
      <c r="O80" s="593"/>
      <c r="P80" s="345">
        <f>C79*E80*F79*N80/1000000*O79</f>
        <v>1018.2434290554703</v>
      </c>
      <c r="Q80" s="218">
        <f>0.6037810576/G79-0.0052863845*G79+0.000423961*G79^2+0.3189943526</f>
        <v>0.55521053643067186</v>
      </c>
      <c r="R80" s="593"/>
      <c r="S80" s="345">
        <f>C79*E80*F79*Q80/1000000*R79</f>
        <v>103.235383532017</v>
      </c>
      <c r="T80" s="218">
        <f>0.2877659/G79-0.008903887*G79+0.000069093*G79^2+0.516185391</f>
        <v>0.32266386964951294</v>
      </c>
      <c r="U80" s="593"/>
      <c r="V80" s="345">
        <f>C79*E80*F79*T80*U79</f>
        <v>19907.374696589301</v>
      </c>
      <c r="W80" s="598"/>
      <c r="X80" s="598"/>
      <c r="Y80" s="598"/>
      <c r="Z80" s="595"/>
      <c r="AA80" s="66"/>
    </row>
    <row r="81" spans="1:27" ht="15" customHeight="1">
      <c r="A81" s="604"/>
      <c r="B81" s="588" t="s">
        <v>46</v>
      </c>
      <c r="C81" s="586">
        <f>'ｼｰﾄNO.3（表-3）59頁'!$F$30</f>
        <v>9</v>
      </c>
      <c r="D81" s="216" t="s">
        <v>65</v>
      </c>
      <c r="E81" s="342">
        <f>'ｼｰﾄNO.4（表-4）60頁'!W8</f>
        <v>148.19999999999999</v>
      </c>
      <c r="F81" s="590">
        <f>'ｼｰﾄNO.4（表-4）60頁'!O8/1000</f>
        <v>0.76100000000000001</v>
      </c>
      <c r="G81" s="590">
        <f>'ｼｰﾄNO.4（表-4）60頁'!O8/1000/('ｼｰﾄNO.4（表-4）60頁'!T8/3600)</f>
        <v>27.955102040816328</v>
      </c>
      <c r="H81" s="219">
        <f>-2.71095565/G81-0.09453616*G81+0.00089493*G81^2+3.15403637</f>
        <v>1.1136698404962537</v>
      </c>
      <c r="I81" s="592">
        <v>10000</v>
      </c>
      <c r="J81" s="343">
        <f t="shared" ref="J81" si="462">C81*E81*F81*H81/1000000*I81</f>
        <v>11.303991661062202</v>
      </c>
      <c r="K81" s="219">
        <f t="shared" ref="K81" si="463">1501.20185/G81-2.40935*G81+0.02115*G81^2+174.47635</f>
        <v>177.35165078551574</v>
      </c>
      <c r="L81" s="592">
        <v>2891</v>
      </c>
      <c r="M81" s="343">
        <f t="shared" ref="M81" si="464">C81*E81*F81*K81/1000000*L81</f>
        <v>520.42565413220871</v>
      </c>
      <c r="N81" s="219">
        <f>-0.25063622/G81-0.00657231*G81+0.00005332*G81^2+0.29056757</f>
        <v>0.13954122906549798</v>
      </c>
      <c r="O81" s="592">
        <v>840100</v>
      </c>
      <c r="P81" s="343">
        <f t="shared" ref="P81" si="465">C81*E81*F81*N81/1000000*O81</f>
        <v>118.98957091918027</v>
      </c>
      <c r="Q81" s="219">
        <f>0.093055673/G81-0.0002682273*G81+0.00000218*G81^2+0.0173678037</f>
        <v>1.4901879955931608E-2</v>
      </c>
      <c r="R81" s="592">
        <v>482200</v>
      </c>
      <c r="S81" s="343">
        <f t="shared" ref="S81" si="466">C81*E81*F81*Q81/1000000*R81</f>
        <v>7.2936284604374961</v>
      </c>
      <c r="T81" s="219">
        <f t="shared" ref="T81" si="467">0.630901162/G81-0.001006579*G81+0.000008915*G81^2+0.0072170055</f>
        <v>8.6133226666943175E-3</v>
      </c>
      <c r="U81" s="592">
        <v>160</v>
      </c>
      <c r="V81" s="343">
        <f t="shared" ref="V81" si="468">C81*E81*F81*T81*U81</f>
        <v>1398.8336443406185</v>
      </c>
      <c r="W81" s="598"/>
      <c r="X81" s="598"/>
      <c r="Y81" s="598"/>
      <c r="Z81" s="595"/>
      <c r="AA81" s="66"/>
    </row>
    <row r="82" spans="1:27" ht="15" customHeight="1">
      <c r="A82" s="604"/>
      <c r="B82" s="589"/>
      <c r="C82" s="587"/>
      <c r="D82" s="217" t="s">
        <v>66</v>
      </c>
      <c r="E82" s="344">
        <f>'ｼｰﾄNO.4（表-4）60頁'!W9</f>
        <v>7.8000000000000007</v>
      </c>
      <c r="F82" s="591"/>
      <c r="G82" s="591"/>
      <c r="H82" s="218">
        <f>12.28697452/G81-0.05907844*G81+0.00051753*G81^2+2.69979197</f>
        <v>1.8922167930969032</v>
      </c>
      <c r="I82" s="593"/>
      <c r="J82" s="345">
        <f t="shared" ref="J82" si="469">C81*E82*F81*H82/1000000*I81</f>
        <v>1.0108638396418139</v>
      </c>
      <c r="K82" s="218">
        <f t="shared" ref="K82" si="470">908.52069/G81-23.49889*G81+0.18396*G81^2+1364.81344</f>
        <v>884.1613350837506</v>
      </c>
      <c r="L82" s="593"/>
      <c r="M82" s="345">
        <f t="shared" ref="M82" si="471">C81*E82*F81*K82/1000000*L81</f>
        <v>136.55304206474631</v>
      </c>
      <c r="N82" s="218">
        <f>9.45345681/G81-0.14325844*G81+0.00124097*G81^2+5.98054622</f>
        <v>3.2837104457456512</v>
      </c>
      <c r="O82" s="593"/>
      <c r="P82" s="345">
        <f t="shared" ref="P82" si="472">C81*E82*F81*N82/1000000*O81</f>
        <v>147.37289269037666</v>
      </c>
      <c r="Q82" s="218">
        <f>0.6037810576/G81-0.0052863845*G81+0.000423961*G81^2+0.3189943526</f>
        <v>0.52413149597119757</v>
      </c>
      <c r="R82" s="593"/>
      <c r="S82" s="345">
        <f t="shared" ref="S82" si="473">C81*E82*F81*Q82/1000000*R81</f>
        <v>13.501724216683765</v>
      </c>
      <c r="T82" s="218">
        <f t="shared" ref="T82" si="474">0.2877659/G81-0.008903887*G81+0.000069093*G81^2+0.516185391</f>
        <v>0.33156551285231084</v>
      </c>
      <c r="U82" s="593"/>
      <c r="V82" s="345">
        <f t="shared" ref="V82" si="475">C81*E82*F81*T82*U81</f>
        <v>2834.0734625117957</v>
      </c>
      <c r="W82" s="598"/>
      <c r="X82" s="598"/>
      <c r="Y82" s="598"/>
      <c r="Z82" s="595"/>
      <c r="AA82" s="66"/>
    </row>
    <row r="83" spans="1:27" ht="15" customHeight="1">
      <c r="A83" s="604"/>
      <c r="B83" s="588" t="s">
        <v>47</v>
      </c>
      <c r="C83" s="586">
        <f>'ｼｰﾄNO.3（表-3）59頁'!$F$30</f>
        <v>9</v>
      </c>
      <c r="D83" s="216" t="s">
        <v>65</v>
      </c>
      <c r="E83" s="342">
        <f>'ｼｰﾄNO.4（表-4）60頁'!W10</f>
        <v>41.8</v>
      </c>
      <c r="F83" s="590">
        <f>'ｼｰﾄNO.4（表-4）60頁'!O10/1000</f>
        <v>0.82399999999999995</v>
      </c>
      <c r="G83" s="590">
        <f>'ｼｰﾄNO.4（表-4）60頁'!O10/1000/('ｼｰﾄNO.4（表-4）60頁'!T10/3600)</f>
        <v>24.927731092436975</v>
      </c>
      <c r="H83" s="219">
        <f>-2.71095565/G83-0.09453616*G83+0.00089493*G83^2+3.15403637</f>
        <v>1.2448139350987362</v>
      </c>
      <c r="I83" s="592">
        <v>10000</v>
      </c>
      <c r="J83" s="343">
        <f t="shared" ref="J83" si="476">C83*E83*F83*H83/1000000*I83</f>
        <v>3.8587837796453504</v>
      </c>
      <c r="K83" s="219">
        <f t="shared" ref="K83" si="477">1501.20185/G83-2.40935*G83+0.02115*G83^2+174.47635</f>
        <v>187.78131877798023</v>
      </c>
      <c r="L83" s="592">
        <v>2891</v>
      </c>
      <c r="M83" s="343">
        <f t="shared" ref="M83" si="478">C83*E83*F83*K83/1000000*L83</f>
        <v>168.28541549313667</v>
      </c>
      <c r="N83" s="219">
        <f>-0.25063622/G83-0.00657231*G83+0.00005332*G83^2+0.29056757</f>
        <v>0.14981288928616346</v>
      </c>
      <c r="O83" s="592">
        <v>840100</v>
      </c>
      <c r="P83" s="343">
        <f t="shared" ref="P83" si="479">C83*E83*F83*N83/1000000*O83</f>
        <v>39.014510962231988</v>
      </c>
      <c r="Q83" s="219">
        <f>0.093055673/G83-0.0002682273*G83+0.00000218*G83^2+0.0173678037</f>
        <v>1.5769157934508494E-2</v>
      </c>
      <c r="R83" s="592">
        <v>482200</v>
      </c>
      <c r="S83" s="343">
        <f t="shared" ref="S83" si="480">C83*E83*F83*Q83/1000000*R83</f>
        <v>2.3571201028210909</v>
      </c>
      <c r="T83" s="219">
        <f t="shared" ref="T83" si="481">0.630901162/G83-0.001006579*G83+0.000008915*G83^2+0.0072170055</f>
        <v>1.2974191796488203E-2</v>
      </c>
      <c r="U83" s="592">
        <v>160</v>
      </c>
      <c r="V83" s="343">
        <f t="shared" ref="V83" si="482">C83*E83*F83*T83*U83</f>
        <v>643.49666335411553</v>
      </c>
      <c r="W83" s="598"/>
      <c r="X83" s="598"/>
      <c r="Y83" s="598"/>
      <c r="Z83" s="595"/>
      <c r="AA83" s="66"/>
    </row>
    <row r="84" spans="1:27" ht="15" customHeight="1">
      <c r="A84" s="604"/>
      <c r="B84" s="589"/>
      <c r="C84" s="587"/>
      <c r="D84" s="217" t="s">
        <v>66</v>
      </c>
      <c r="E84" s="344">
        <f>'ｼｰﾄNO.4（表-4）60頁'!W11</f>
        <v>2.2000000000000002</v>
      </c>
      <c r="F84" s="591"/>
      <c r="G84" s="591"/>
      <c r="H84" s="218">
        <f>12.28697452/G83-0.05907844*G83+0.00051753*G83^2+2.69979197</f>
        <v>2.0415932365843594</v>
      </c>
      <c r="I84" s="593"/>
      <c r="J84" s="345">
        <f t="shared" ref="J84" si="483">C83*E84*F83*H84/1000000*I83</f>
        <v>0.33309001973521141</v>
      </c>
      <c r="K84" s="218">
        <f t="shared" ref="K84" si="484">908.52069/G83-23.49889*G83+0.18396*G83^2+1364.81344</f>
        <v>929.79684512079211</v>
      </c>
      <c r="L84" s="593"/>
      <c r="M84" s="345">
        <f t="shared" ref="M84" si="485">C83*E84*F83*K84/1000000*L83</f>
        <v>43.855953920405135</v>
      </c>
      <c r="N84" s="218">
        <f>9.45345681/G83-0.14325844*G83+0.00124097*G83^2+5.98054622</f>
        <v>3.5598014520360097</v>
      </c>
      <c r="O84" s="593"/>
      <c r="P84" s="345">
        <f t="shared" ref="P84" si="486">C83*E84*F83*N84/1000000*O83</f>
        <v>48.792060913481663</v>
      </c>
      <c r="Q84" s="218">
        <f>0.6037810576/G83-0.0052863845*G83+0.000423961*G83^2+0.3189943526</f>
        <v>0.47488392074238339</v>
      </c>
      <c r="R84" s="593"/>
      <c r="S84" s="345">
        <f t="shared" ref="S84" si="487">C83*E84*F83*Q84/1000000*R83</f>
        <v>3.736001766490276</v>
      </c>
      <c r="T84" s="218">
        <f t="shared" ref="T84" si="488">0.2877659/G83-0.008903887*G83+0.000069093*G83^2+0.516185391</f>
        <v>0.34870951917435056</v>
      </c>
      <c r="U84" s="593"/>
      <c r="V84" s="345">
        <f t="shared" ref="V84" si="489">C83*E84*F83*T84*U83</f>
        <v>910.2824875573383</v>
      </c>
      <c r="W84" s="598"/>
      <c r="X84" s="598"/>
      <c r="Y84" s="598"/>
      <c r="Z84" s="595"/>
      <c r="AA84" s="66"/>
    </row>
    <row r="85" spans="1:27" ht="15" customHeight="1">
      <c r="A85" s="604"/>
      <c r="B85" s="588" t="s">
        <v>48</v>
      </c>
      <c r="C85" s="586">
        <f>'ｼｰﾄNO.3（表-3）59頁'!$F$30</f>
        <v>9</v>
      </c>
      <c r="D85" s="216" t="s">
        <v>65</v>
      </c>
      <c r="E85" s="342">
        <f>'ｼｰﾄNO.4（表-4）60頁'!W12</f>
        <v>753.34999999999991</v>
      </c>
      <c r="F85" s="590">
        <f>'ｼｰﾄNO.4（表-4）60頁'!O12/1000</f>
        <v>1.054</v>
      </c>
      <c r="G85" s="590">
        <f>'ｼｰﾄNO.4（表-4）60頁'!O12/1000/('ｼｰﾄNO.4（表-4）60頁'!T12/3600)</f>
        <v>30.6</v>
      </c>
      <c r="H85" s="219">
        <f>-2.71095565/G85-0.09453616*G85+0.00089493*G85^2+3.15403637</f>
        <v>1.0106132069045755</v>
      </c>
      <c r="I85" s="592">
        <v>10000</v>
      </c>
      <c r="J85" s="343">
        <f t="shared" ref="J85" si="490">C85*E85*F85*H85/1000000*I85</f>
        <v>72.221230280729358</v>
      </c>
      <c r="K85" s="219">
        <f t="shared" ref="K85" si="491">1501.20185/G85-2.40935*G85+0.02115*G85^2+174.47635</f>
        <v>169.61313798692811</v>
      </c>
      <c r="L85" s="592">
        <v>2891</v>
      </c>
      <c r="M85" s="343">
        <f t="shared" ref="M85" si="492">C85*E85*F85*K85/1000000*L85</f>
        <v>3504.1887711767467</v>
      </c>
      <c r="N85" s="219">
        <f>-0.25063622/G85-0.00657231*G85+0.00005332*G85^2+0.29056757</f>
        <v>0.13119087305620916</v>
      </c>
      <c r="O85" s="592">
        <v>840100</v>
      </c>
      <c r="P85" s="343">
        <f t="shared" ref="P85" si="493">C85*E85*F85*N85/1000000*O85</f>
        <v>787.61598160113681</v>
      </c>
      <c r="Q85" s="219">
        <f>0.093055673/G85-0.0002682273*G85+0.00000218*G85^2+0.0173678037</f>
        <v>1.4242348185359476E-2</v>
      </c>
      <c r="R85" s="592">
        <v>482200</v>
      </c>
      <c r="S85" s="343">
        <f t="shared" ref="S85" si="494">C85*E85*F85*Q85/1000000*R85</f>
        <v>49.078210364257536</v>
      </c>
      <c r="T85" s="219">
        <f t="shared" ref="T85" si="495">0.630901162/G85-0.001006579*G85+0.000008915*G85^2+0.0072170055</f>
        <v>5.3810225326797346E-3</v>
      </c>
      <c r="U85" s="592">
        <v>160</v>
      </c>
      <c r="V85" s="343">
        <f t="shared" ref="V85" si="496">C85*E85*F85*T85*U85</f>
        <v>6152.6853569433151</v>
      </c>
      <c r="W85" s="598"/>
      <c r="X85" s="598"/>
      <c r="Y85" s="598"/>
      <c r="Z85" s="595"/>
      <c r="AA85" s="66"/>
    </row>
    <row r="86" spans="1:27" ht="15" customHeight="1">
      <c r="A86" s="604"/>
      <c r="B86" s="589"/>
      <c r="C86" s="587"/>
      <c r="D86" s="217" t="s">
        <v>66</v>
      </c>
      <c r="E86" s="344">
        <f>'ｼｰﾄNO.4（表-4）60頁'!W13</f>
        <v>39.650000000000006</v>
      </c>
      <c r="F86" s="591"/>
      <c r="G86" s="591"/>
      <c r="H86" s="218">
        <f>12.28697452/G85-0.05907844*G85+0.00051753*G85^2+2.69979197</f>
        <v>1.7781212118326797</v>
      </c>
      <c r="I86" s="593"/>
      <c r="J86" s="345">
        <f t="shared" ref="J86" si="497">C85*E86*F85*H86/1000000*I85</f>
        <v>6.6878677238238646</v>
      </c>
      <c r="K86" s="218">
        <f t="shared" ref="K86" si="498">908.52069/G85-23.49889*G85+0.18396*G85^2+1364.81344</f>
        <v>847.69041022745091</v>
      </c>
      <c r="L86" s="593"/>
      <c r="M86" s="345">
        <f t="shared" ref="M86" si="499">C85*E86*F85*K86/1000000*L85</f>
        <v>921.74687465362149</v>
      </c>
      <c r="N86" s="218">
        <f>9.45345681/G85-0.14325844*G85+0.00124097*G85^2+5.98054622</f>
        <v>3.0677691222588237</v>
      </c>
      <c r="O86" s="593"/>
      <c r="P86" s="345">
        <f t="shared" ref="P86" si="500">C85*E86*F85*N86/1000000*O85</f>
        <v>969.3485579106931</v>
      </c>
      <c r="Q86" s="218">
        <f>0.6037810576/G85-0.0052863845*G85+0.000423961*G85^2+0.3189943526</f>
        <v>0.57394251597111112</v>
      </c>
      <c r="R86" s="593"/>
      <c r="S86" s="345">
        <f t="shared" ref="S86" si="501">C85*E86*F85*Q86/1000000*R85</f>
        <v>104.09309346591348</v>
      </c>
      <c r="T86" s="218">
        <f t="shared" ref="T86" si="502">0.2877659/G85-0.008903887*G85+0.000069093*G85^2+0.516185391</f>
        <v>0.31782648465908503</v>
      </c>
      <c r="U86" s="593"/>
      <c r="V86" s="345">
        <f t="shared" ref="V86" si="503">C85*E86*F85*T86*U85</f>
        <v>19126.538500372259</v>
      </c>
      <c r="W86" s="598"/>
      <c r="X86" s="598"/>
      <c r="Y86" s="598"/>
      <c r="Z86" s="595"/>
      <c r="AA86" s="66"/>
    </row>
    <row r="87" spans="1:27" ht="15" customHeight="1">
      <c r="A87" s="604"/>
      <c r="B87" s="588" t="s">
        <v>49</v>
      </c>
      <c r="C87" s="586">
        <f>'ｼｰﾄNO.3（表-3）59頁'!$F$30</f>
        <v>9</v>
      </c>
      <c r="D87" s="216" t="s">
        <v>65</v>
      </c>
      <c r="E87" s="342">
        <f>'ｼｰﾄNO.4（表-4）60頁'!W14</f>
        <v>39.9</v>
      </c>
      <c r="F87" s="590">
        <f>'ｼｰﾄNO.4（表-4）60頁'!O14/1000</f>
        <v>0.84799999999999998</v>
      </c>
      <c r="G87" s="590">
        <f>'ｼｰﾄNO.4（表-4）60頁'!O14/1000/('ｼｰﾄNO.4（表-4）60頁'!T14/3600)</f>
        <v>22.613333333333333</v>
      </c>
      <c r="H87" s="219">
        <f>-2.71095565/G87-0.09453616*G87+0.00089493*G87^2+3.15403637</f>
        <v>1.3540095598927391</v>
      </c>
      <c r="I87" s="592">
        <v>10000</v>
      </c>
      <c r="J87" s="343">
        <f t="shared" ref="J87" si="504">C87*E87*F87*H87/1000000*I87</f>
        <v>4.1231865834794519</v>
      </c>
      <c r="K87" s="219">
        <f t="shared" ref="K87" si="505">1501.20185/G87-2.40935*G87+0.02115*G87^2+174.47635</f>
        <v>197.19393451102201</v>
      </c>
      <c r="L87" s="592">
        <v>2891</v>
      </c>
      <c r="M87" s="343">
        <f t="shared" ref="M87" si="506">C87*E87*F87*K87/1000000*L87</f>
        <v>173.60127136519699</v>
      </c>
      <c r="N87" s="219">
        <f>-0.25063622/G87-0.00657231*G87+0.00005332*G87^2+0.29056757</f>
        <v>0.15812804080870232</v>
      </c>
      <c r="O87" s="592">
        <v>840100</v>
      </c>
      <c r="P87" s="343">
        <f t="shared" ref="P87" si="507">C87*E87*F87*N87/1000000*O87</f>
        <v>40.453037045459503</v>
      </c>
      <c r="Q87" s="219">
        <f>0.093055673/G87-0.0002682273*G87+0.00000218*G87^2+0.0173678037</f>
        <v>1.6532141236016248E-2</v>
      </c>
      <c r="R87" s="592">
        <v>482200</v>
      </c>
      <c r="S87" s="343">
        <f t="shared" ref="S87" si="508">C87*E87*F87*Q87/1000000*R87</f>
        <v>2.4275465706850095</v>
      </c>
      <c r="T87" s="219">
        <f t="shared" ref="T87" si="509">0.630901162/G87-0.001006579*G87+0.000008915*G87^2+0.0072170055</f>
        <v>1.6913219530124743E-2</v>
      </c>
      <c r="U87" s="592">
        <v>160</v>
      </c>
      <c r="V87" s="343">
        <f t="shared" ref="V87" si="510">C87*E87*F87*T87*U87</f>
        <v>824.05751824177446</v>
      </c>
      <c r="W87" s="598"/>
      <c r="X87" s="598"/>
      <c r="Y87" s="598"/>
      <c r="Z87" s="595"/>
      <c r="AA87" s="66"/>
    </row>
    <row r="88" spans="1:27" ht="15" customHeight="1">
      <c r="A88" s="604"/>
      <c r="B88" s="589"/>
      <c r="C88" s="587"/>
      <c r="D88" s="217" t="s">
        <v>66</v>
      </c>
      <c r="E88" s="344">
        <f>'ｼｰﾄNO.4（表-4）60頁'!W15</f>
        <v>2.1</v>
      </c>
      <c r="F88" s="591"/>
      <c r="G88" s="591"/>
      <c r="H88" s="218">
        <f>12.28697452/G87-0.05907844*G87+0.00051753*G87^2+2.69979197</f>
        <v>2.1718280043001132</v>
      </c>
      <c r="I88" s="593"/>
      <c r="J88" s="345">
        <f t="shared" ref="J88" si="511">C87*E88*F87*H88/1000000*I87</f>
        <v>0.34808321790518776</v>
      </c>
      <c r="K88" s="218">
        <f t="shared" ref="K88" si="512">908.52069/G87-23.49889*G87+0.18396*G87^2+1364.81344</f>
        <v>967.67184401344969</v>
      </c>
      <c r="L88" s="593"/>
      <c r="M88" s="345">
        <f t="shared" ref="M88" si="513">C87*E88*F87*K88/1000000*L87</f>
        <v>44.8367218856745</v>
      </c>
      <c r="N88" s="218">
        <f>9.45345681/G87-0.14325844*G87+0.00124097*G87^2+5.98054622</f>
        <v>3.7936292257149553</v>
      </c>
      <c r="O88" s="593"/>
      <c r="P88" s="345">
        <f t="shared" ref="P88" si="514">C87*E88*F87*N88/1000000*O87</f>
        <v>51.079133759590775</v>
      </c>
      <c r="Q88" s="218">
        <f>0.6037810576/G87-0.0052863845*G87+0.000423961*G87^2+0.3189943526</f>
        <v>0.4429497043225048</v>
      </c>
      <c r="R88" s="593"/>
      <c r="S88" s="345">
        <f t="shared" ref="S88" si="515">C87*E88*F87*Q88/1000000*R87</f>
        <v>3.4232552162389305</v>
      </c>
      <c r="T88" s="218">
        <f t="shared" ref="T88" si="516">0.2877659/G87-0.008903887*G87+0.000069093*G87^2+0.516185391</f>
        <v>0.3628959160749422</v>
      </c>
      <c r="U88" s="593"/>
      <c r="V88" s="345">
        <f t="shared" ref="V88" si="517">C87*E88*F87*T88*U87</f>
        <v>930.59286817861016</v>
      </c>
      <c r="W88" s="598"/>
      <c r="X88" s="598"/>
      <c r="Y88" s="598"/>
      <c r="Z88" s="595"/>
      <c r="AA88" s="66"/>
    </row>
    <row r="89" spans="1:27" ht="15" customHeight="1">
      <c r="A89" s="604"/>
      <c r="B89" s="588" t="s">
        <v>50</v>
      </c>
      <c r="C89" s="586">
        <f>'ｼｰﾄNO.3（表-3）59頁'!$F$30</f>
        <v>9</v>
      </c>
      <c r="D89" s="216" t="s">
        <v>65</v>
      </c>
      <c r="E89" s="342">
        <f>'ｼｰﾄNO.4（表-4）60頁'!W16</f>
        <v>147.25</v>
      </c>
      <c r="F89" s="590">
        <f>'ｼｰﾄNO.4（表-4）60頁'!O16/1000</f>
        <v>0.91</v>
      </c>
      <c r="G89" s="590">
        <f>'ｼｰﾄNO.4（表-4）60頁'!O16/1000/('ｼｰﾄNO.4（表-4）60頁'!T16/3600)</f>
        <v>30.055045871559635</v>
      </c>
      <c r="H89" s="219">
        <f>-2.71095565/G89-0.09453616*G89+0.00089493*G89^2+3.15403637</f>
        <v>1.030943504144429</v>
      </c>
      <c r="I89" s="592">
        <v>10000</v>
      </c>
      <c r="J89" s="343">
        <f t="shared" ref="J89" si="518">C89*E89*F89*H89/1000000*I89</f>
        <v>12.432946697693382</v>
      </c>
      <c r="K89" s="219">
        <f t="shared" ref="K89" si="519">1501.20185/G89-2.40935*G89+0.02115*G89^2+174.47635</f>
        <v>171.11655572795735</v>
      </c>
      <c r="L89" s="592">
        <v>2891</v>
      </c>
      <c r="M89" s="343">
        <f t="shared" ref="M89" si="520">C89*E89*F89*K89/1000000*L89</f>
        <v>596.59461220292803</v>
      </c>
      <c r="N89" s="219">
        <f>-0.25063622/G89-0.00657231*G89+0.00005332*G89^2+0.29056757</f>
        <v>0.13286151647220723</v>
      </c>
      <c r="O89" s="592">
        <v>840100</v>
      </c>
      <c r="P89" s="343">
        <f t="shared" ref="P89" si="521">C89*E89*F89*N89/1000000*O89</f>
        <v>134.60754236429162</v>
      </c>
      <c r="Q89" s="219">
        <f>0.093055673/G89-0.0002682273*G89+0.00000218*G89^2+0.0173678037</f>
        <v>1.4371601212148963E-2</v>
      </c>
      <c r="R89" s="592">
        <v>482200</v>
      </c>
      <c r="S89" s="343">
        <f t="shared" ref="S89" si="522">C89*E89*F89*Q89/1000000*R89</f>
        <v>8.3574073173375147</v>
      </c>
      <c r="T89" s="219">
        <f t="shared" ref="T89" si="523">0.630901162/G89-0.001006579*G89+0.000008915*G89^2+0.0072170055</f>
        <v>6.0087207101030028E-3</v>
      </c>
      <c r="U89" s="592">
        <v>160</v>
      </c>
      <c r="V89" s="343">
        <f t="shared" ref="V89" si="524">C89*E89*F89*T89*U89</f>
        <v>1159.4211168269189</v>
      </c>
      <c r="W89" s="598"/>
      <c r="X89" s="598"/>
      <c r="Y89" s="598"/>
      <c r="Z89" s="595"/>
      <c r="AA89" s="66"/>
    </row>
    <row r="90" spans="1:27" ht="15" customHeight="1">
      <c r="A90" s="604"/>
      <c r="B90" s="589"/>
      <c r="C90" s="587"/>
      <c r="D90" s="217" t="s">
        <v>66</v>
      </c>
      <c r="E90" s="344">
        <f>'ｼｰﾄNO.4（表-4）60頁'!W17</f>
        <v>7.75</v>
      </c>
      <c r="F90" s="591"/>
      <c r="G90" s="591"/>
      <c r="H90" s="218">
        <f>12.28697452/G89-0.05907844*G89+0.00051753*G89^2+2.69979197</f>
        <v>1.8004902841038075</v>
      </c>
      <c r="I90" s="593"/>
      <c r="J90" s="345">
        <f t="shared" ref="J90" si="525">C89*E90*F89*H90/1000000*I89</f>
        <v>1.1428161955777894</v>
      </c>
      <c r="K90" s="218">
        <f t="shared" ref="K90" si="526">908.52069/G89-23.49889*G89+0.18396*G89^2+1364.81344</f>
        <v>854.95391259522842</v>
      </c>
      <c r="L90" s="593"/>
      <c r="M90" s="345">
        <f t="shared" ref="M90" si="527">C89*E90*F89*K90/1000000*L89</f>
        <v>156.88318586992705</v>
      </c>
      <c r="N90" s="218">
        <f>9.45345681/G89-0.14325844*G89+0.00124097*G89^2+5.98054622</f>
        <v>3.11042070390894</v>
      </c>
      <c r="O90" s="593"/>
      <c r="P90" s="345">
        <f t="shared" ref="P90" si="528">C89*E90*F89*N90/1000000*O89</f>
        <v>165.85773224605546</v>
      </c>
      <c r="Q90" s="218">
        <f>0.6037810576/G89-0.0052863845*G89+0.000423961*G89^2+0.3189943526</f>
        <v>0.56316742112801155</v>
      </c>
      <c r="R90" s="593"/>
      <c r="S90" s="345">
        <f t="shared" ref="S90" si="529">C89*E90*F89*Q90/1000000*R89</f>
        <v>17.236549603125507</v>
      </c>
      <c r="T90" s="218">
        <f t="shared" ref="T90" si="530">0.2877659/G89-0.008903887*G89+0.000069093*G89^2+0.516185391</f>
        <v>0.32056539374004506</v>
      </c>
      <c r="U90" s="593"/>
      <c r="V90" s="345">
        <f t="shared" ref="V90" si="531">C89*E90*F89*T90*U89</f>
        <v>3255.5339126664016</v>
      </c>
      <c r="W90" s="598"/>
      <c r="X90" s="598"/>
      <c r="Y90" s="598"/>
      <c r="Z90" s="595"/>
      <c r="AA90" s="66"/>
    </row>
    <row r="91" spans="1:27" ht="15" customHeight="1">
      <c r="A91" s="604"/>
      <c r="B91" s="588" t="s">
        <v>51</v>
      </c>
      <c r="C91" s="586">
        <f>'ｼｰﾄNO.3（表-3）59頁'!$F$30</f>
        <v>9</v>
      </c>
      <c r="D91" s="216" t="s">
        <v>65</v>
      </c>
      <c r="E91" s="342">
        <f>'ｼｰﾄNO.4（表-4）60頁'!W18</f>
        <v>54.15</v>
      </c>
      <c r="F91" s="590">
        <f>'ｼｰﾄNO.4（表-4）60頁'!O18/1000</f>
        <v>0.76100000000000001</v>
      </c>
      <c r="G91" s="590">
        <f>'ｼｰﾄNO.4（表-4）60頁'!O18/1000/('ｼｰﾄNO.4（表-4）60頁'!T18/3600)</f>
        <v>22.641322314049585</v>
      </c>
      <c r="H91" s="219">
        <f>-2.71095565/G91-0.09453616*G91+0.00089493*G91^2+3.15403637</f>
        <v>1.3526453340932798</v>
      </c>
      <c r="I91" s="592">
        <v>10000</v>
      </c>
      <c r="J91" s="343">
        <f t="shared" ref="J91" si="532">C91*E91*F91*H91/1000000*I91</f>
        <v>5.0166010641704384</v>
      </c>
      <c r="K91" s="219">
        <f t="shared" ref="K91" si="533">1501.20185/G91-2.40935*G91+0.02115*G91^2+174.47635</f>
        <v>197.07122317498113</v>
      </c>
      <c r="L91" s="592">
        <v>2891</v>
      </c>
      <c r="M91" s="343">
        <f t="shared" ref="M91" si="534">C91*E91*F91*K91/1000000*L91</f>
        <v>211.29875152721084</v>
      </c>
      <c r="N91" s="219">
        <f>-0.25063622/G91-0.00657231*G91+0.00005332*G91^2+0.29056757</f>
        <v>0.15802532673956798</v>
      </c>
      <c r="O91" s="592">
        <v>840100</v>
      </c>
      <c r="P91" s="343">
        <f t="shared" ref="P91" si="535">C91*E91*F91*N91/1000000*O91</f>
        <v>49.236061880939722</v>
      </c>
      <c r="Q91" s="219">
        <f>0.093055673/G91-0.0002682273*G91+0.00000218*G91^2+0.0173678037</f>
        <v>1.6522308062949704E-2</v>
      </c>
      <c r="R91" s="592">
        <v>482200</v>
      </c>
      <c r="S91" s="343">
        <f t="shared" ref="S91" si="536">C91*E91*F91*Q91/1000000*R91</f>
        <v>2.9547690999286043</v>
      </c>
      <c r="T91" s="219">
        <f t="shared" ref="T91" si="537">0.630901162/G91-0.001006579*G91+0.000008915*G91^2+0.0072170055</f>
        <v>1.6861849317317577E-2</v>
      </c>
      <c r="U91" s="592">
        <v>160</v>
      </c>
      <c r="V91" s="343">
        <f t="shared" ref="V91" si="538">C91*E91*F91*T91*U91</f>
        <v>1000.5776869614051</v>
      </c>
      <c r="W91" s="598"/>
      <c r="X91" s="598"/>
      <c r="Y91" s="598"/>
      <c r="Z91" s="595"/>
      <c r="AA91" s="66"/>
    </row>
    <row r="92" spans="1:27" ht="15" customHeight="1">
      <c r="A92" s="604"/>
      <c r="B92" s="589"/>
      <c r="C92" s="587"/>
      <c r="D92" s="217" t="s">
        <v>66</v>
      </c>
      <c r="E92" s="344">
        <f>'ｼｰﾄNO.4（表-4）60頁'!W19</f>
        <v>2.85</v>
      </c>
      <c r="F92" s="591"/>
      <c r="G92" s="591"/>
      <c r="H92" s="218">
        <f>12.28697452/G91-0.05907844*G91+0.00051753*G91^2+2.69979197</f>
        <v>2.1701582938483104</v>
      </c>
      <c r="I92" s="593"/>
      <c r="J92" s="345">
        <f t="shared" ref="J92" si="539">C91*E92*F91*H92/1000000*I91</f>
        <v>0.42360730340516178</v>
      </c>
      <c r="K92" s="218">
        <f t="shared" ref="K92" si="540">908.52069/G91-23.49889*G91+0.18396*G91^2+1364.81344</f>
        <v>967.19747801654171</v>
      </c>
      <c r="L92" s="593"/>
      <c r="M92" s="345">
        <f t="shared" ref="M92" si="541">C91*E92*F91*K92/1000000*L91</f>
        <v>54.580218923854325</v>
      </c>
      <c r="N92" s="218">
        <f>9.45345681/G91-0.14325844*G91+0.00124097*G91^2+5.98054622</f>
        <v>3.7906746331889405</v>
      </c>
      <c r="O92" s="593"/>
      <c r="P92" s="345">
        <f t="shared" ref="P92" si="542">C91*E92*F91*N92/1000000*O91</f>
        <v>62.161218631340638</v>
      </c>
      <c r="Q92" s="218">
        <f>0.6037810576/G91-0.0052863845*G91+0.000423961*G91^2+0.3189943526</f>
        <v>0.44330573968938591</v>
      </c>
      <c r="R92" s="593"/>
      <c r="S92" s="345">
        <f t="shared" ref="S92" si="543">C91*E92*F91*Q92/1000000*R91</f>
        <v>4.1725599635692037</v>
      </c>
      <c r="T92" s="218">
        <f t="shared" ref="T92" si="544">0.2877659/G91-0.008903887*G91+0.000069093*G91^2+0.516185391</f>
        <v>0.36271848960200154</v>
      </c>
      <c r="U92" s="593"/>
      <c r="V92" s="345">
        <f t="shared" ref="V92" si="545">C91*E92*F91*T92*U91</f>
        <v>1132.8220744895536</v>
      </c>
      <c r="W92" s="598"/>
      <c r="X92" s="598"/>
      <c r="Y92" s="598"/>
      <c r="Z92" s="595"/>
      <c r="AA92" s="66"/>
    </row>
    <row r="93" spans="1:27" ht="15" customHeight="1">
      <c r="A93" s="604"/>
      <c r="B93" s="588" t="s">
        <v>52</v>
      </c>
      <c r="C93" s="586">
        <f>'ｼｰﾄNO.3（表-3）59頁'!$F$30</f>
        <v>9</v>
      </c>
      <c r="D93" s="216" t="s">
        <v>65</v>
      </c>
      <c r="E93" s="342">
        <f>'ｼｰﾄNO.4（表-4）60頁'!W20</f>
        <v>158.65</v>
      </c>
      <c r="F93" s="590">
        <f>'ｼｰﾄNO.4（表-4）60頁'!O20/1000</f>
        <v>0.84799999999999998</v>
      </c>
      <c r="G93" s="590">
        <f>'ｼｰﾄNO.4（表-4）60頁'!O20/1000/('ｼｰﾄNO.4（表-4）60頁'!T20/3600)</f>
        <v>27.752727272727274</v>
      </c>
      <c r="H93" s="219">
        <f>-2.71095565/G93-0.09453616*G93+0.00089493*G93^2+3.15403637</f>
        <v>1.1220051084994243</v>
      </c>
      <c r="I93" s="592">
        <v>10000</v>
      </c>
      <c r="J93" s="343">
        <f t="shared" ref="J93" si="546">C93*E93*F93*H93/1000000*I93</f>
        <v>13.585426350569257</v>
      </c>
      <c r="K93" s="219">
        <f t="shared" ref="K93" si="547">1501.20185/G93-2.40935*G93+0.02115*G93^2+174.47635</f>
        <v>177.99238771086846</v>
      </c>
      <c r="L93" s="592">
        <v>2891</v>
      </c>
      <c r="M93" s="343">
        <f t="shared" ref="M93" si="548">C93*E93*F93*K93/1000000*L93</f>
        <v>623.0572570462441</v>
      </c>
      <c r="N93" s="219">
        <f>-0.25063622/G93-0.00657231*G93+0.00005332*G93^2+0.29056757</f>
        <v>0.14020479834032479</v>
      </c>
      <c r="O93" s="592">
        <v>840100</v>
      </c>
      <c r="P93" s="343">
        <f t="shared" ref="P93" si="549">C93*E93*F93*N93/1000000*O93</f>
        <v>142.6173294602321</v>
      </c>
      <c r="Q93" s="219">
        <f>0.093055673/G93-0.0002682273*G93+0.00000218*G93^2+0.0173678037</f>
        <v>1.4955858884601478E-2</v>
      </c>
      <c r="R93" s="592">
        <v>482200</v>
      </c>
      <c r="S93" s="343">
        <f t="shared" ref="S93" si="550">C93*E93*F93*Q93/1000000*R93</f>
        <v>8.7320658654652625</v>
      </c>
      <c r="T93" s="219">
        <f t="shared" ref="T93" si="551">0.630901162/G93-0.001006579*G93+0.000008915*G93^2+0.0072170055</f>
        <v>8.8810925083286883E-3</v>
      </c>
      <c r="U93" s="592">
        <v>160</v>
      </c>
      <c r="V93" s="343">
        <f t="shared" ref="V93" si="552">C93*E93*F93*T93*U93</f>
        <v>1720.5401618301628</v>
      </c>
      <c r="W93" s="598"/>
      <c r="X93" s="598"/>
      <c r="Y93" s="598"/>
      <c r="Z93" s="595"/>
      <c r="AA93" s="66"/>
    </row>
    <row r="94" spans="1:27" ht="15" customHeight="1">
      <c r="A94" s="604"/>
      <c r="B94" s="589"/>
      <c r="C94" s="587"/>
      <c r="D94" s="217" t="s">
        <v>66</v>
      </c>
      <c r="E94" s="344">
        <f>'ｼｰﾄNO.4（表-4）60頁'!W21</f>
        <v>8.35</v>
      </c>
      <c r="F94" s="591"/>
      <c r="G94" s="591"/>
      <c r="H94" s="218">
        <f>12.28697452/G93-0.05907844*G93+0.00051753*G93^2+2.69979197</f>
        <v>1.9015432666737011</v>
      </c>
      <c r="I94" s="593"/>
      <c r="J94" s="345">
        <f t="shared" ref="J94" si="553">C93*E94*F93*H94/1000000*I93</f>
        <v>1.2118002806396826</v>
      </c>
      <c r="K94" s="218">
        <f t="shared" ref="K94" si="554">908.52069/G93-23.49889*G93+0.18396*G93^2+1364.81344</f>
        <v>887.07996534181075</v>
      </c>
      <c r="L94" s="593"/>
      <c r="M94" s="345">
        <f t="shared" ref="M94" si="555">C93*E94*F93*K94/1000000*L93</f>
        <v>163.43147476395285</v>
      </c>
      <c r="N94" s="218">
        <f>9.45345681/G93-0.14325844*G93+0.00124097*G93^2+5.98054622</f>
        <v>3.3011777457107159</v>
      </c>
      <c r="O94" s="593"/>
      <c r="P94" s="345">
        <f t="shared" ref="P94" si="556">C93*E94*F93*N94/1000000*O93</f>
        <v>176.73588160806659</v>
      </c>
      <c r="Q94" s="218">
        <f>0.6037810576/G93-0.0052863845*G93+0.000423961*G93^2+0.3189943526</f>
        <v>0.52057914610079359</v>
      </c>
      <c r="R94" s="593"/>
      <c r="S94" s="345">
        <f t="shared" ref="S94" si="557">C93*E94*F93*Q94/1000000*R93</f>
        <v>15.997009765500021</v>
      </c>
      <c r="T94" s="218">
        <f t="shared" ref="T94" si="558">0.2877659/G93-0.008903887*G93+0.000069093*G93^2+0.516185391</f>
        <v>0.33266355369950334</v>
      </c>
      <c r="U94" s="593"/>
      <c r="V94" s="345">
        <f t="shared" ref="V94" si="559">C93*E94*F93*T94*U93</f>
        <v>3391.9546910910376</v>
      </c>
      <c r="W94" s="598"/>
      <c r="X94" s="598"/>
      <c r="Y94" s="598"/>
      <c r="Z94" s="595"/>
      <c r="AA94" s="66"/>
    </row>
    <row r="95" spans="1:27" ht="15" customHeight="1">
      <c r="A95" s="604"/>
      <c r="B95" s="588" t="s">
        <v>53</v>
      </c>
      <c r="C95" s="586">
        <f>'ｼｰﾄNO.3（表-3）59頁'!$F$30</f>
        <v>9</v>
      </c>
      <c r="D95" s="216" t="s">
        <v>65</v>
      </c>
      <c r="E95" s="342">
        <f>'ｼｰﾄNO.4（表-4）60頁'!W22</f>
        <v>738.15</v>
      </c>
      <c r="F95" s="590">
        <f>'ｼｰﾄNO.4（表-4）60頁'!O22/1000</f>
        <v>0.61699999999999999</v>
      </c>
      <c r="G95" s="590">
        <f>'ｼｰﾄNO.4（表-4）60頁'!O22/1000/('ｼｰﾄNO.4（表-4）60頁'!T22/3600)</f>
        <v>27.087804878048779</v>
      </c>
      <c r="H95" s="219">
        <f>-2.71095565/G95-0.09453616*G95+0.00089493*G95^2+3.15403637</f>
        <v>1.1498331610692509</v>
      </c>
      <c r="I95" s="592">
        <v>10000</v>
      </c>
      <c r="J95" s="343">
        <f t="shared" ref="J95" si="560">C95*E95*F95*H95/1000000*I95</f>
        <v>47.131051285736646</v>
      </c>
      <c r="K95" s="219">
        <f t="shared" ref="K95" si="561">1501.20185/G95-2.40935*G95+0.02115*G95^2+174.47635</f>
        <v>180.15098372041632</v>
      </c>
      <c r="L95" s="592">
        <v>2891</v>
      </c>
      <c r="M95" s="343">
        <f t="shared" ref="M95" si="562">C95*E95*F95*K95/1000000*L95</f>
        <v>2134.7991793275273</v>
      </c>
      <c r="N95" s="219">
        <f>-0.25063622/G95-0.00657231*G95+0.00005332*G95^2+0.29056757</f>
        <v>0.14240889225716619</v>
      </c>
      <c r="O95" s="592">
        <v>840100</v>
      </c>
      <c r="P95" s="343">
        <f t="shared" ref="P95" si="563">C95*E95*F95*N95/1000000*O95</f>
        <v>490.3886280885846</v>
      </c>
      <c r="Q95" s="219">
        <f>0.093055673/G95-0.0002682273*G95+0.00000218*G95^2+0.0173678037</f>
        <v>1.5137022719626959E-2</v>
      </c>
      <c r="R95" s="592">
        <v>482200</v>
      </c>
      <c r="S95" s="343">
        <f t="shared" ref="S95" si="564">C95*E95*F95*Q95/1000000*R95</f>
        <v>29.918510369013028</v>
      </c>
      <c r="T95" s="219">
        <f t="shared" ref="T95" si="565">0.630901162/G95-0.001006579*G95+0.000008915*G95^2+0.0072170055</f>
        <v>9.7833305544376171E-3</v>
      </c>
      <c r="U95" s="592">
        <v>160</v>
      </c>
      <c r="V95" s="343">
        <f t="shared" ref="V95" si="566">C95*E95*F95*T95*U95</f>
        <v>6416.2164699126197</v>
      </c>
      <c r="W95" s="598"/>
      <c r="X95" s="598"/>
      <c r="Y95" s="598"/>
      <c r="Z95" s="595"/>
      <c r="AA95" s="66"/>
    </row>
    <row r="96" spans="1:27" ht="15" customHeight="1">
      <c r="A96" s="604"/>
      <c r="B96" s="589"/>
      <c r="C96" s="587"/>
      <c r="D96" s="217" t="s">
        <v>66</v>
      </c>
      <c r="E96" s="344">
        <f>'ｼｰﾄNO.4（表-4）60頁'!W23</f>
        <v>38.85</v>
      </c>
      <c r="F96" s="591"/>
      <c r="G96" s="591"/>
      <c r="H96" s="218">
        <f>12.28697452/G95-0.05907844*G95+0.00051753*G95^2+2.69979197</f>
        <v>1.9328219392155921</v>
      </c>
      <c r="I96" s="593"/>
      <c r="J96" s="345">
        <f t="shared" ref="J96" si="567">C95*E96*F95*H96/1000000*I95</f>
        <v>4.1697550487583355</v>
      </c>
      <c r="K96" s="218">
        <f t="shared" ref="K96" si="568">908.52069/G95-23.49889*G95+0.18396*G95^2+1364.81344</f>
        <v>896.80043250303515</v>
      </c>
      <c r="L96" s="593"/>
      <c r="M96" s="345">
        <f t="shared" ref="M96" si="569">C95*E96*F95*K96/1000000*L95</f>
        <v>559.3228955982205</v>
      </c>
      <c r="N96" s="218">
        <f>9.45345681/G95-0.14325844*G95+0.00124097*G95^2+5.98054622</f>
        <v>3.3595433546140332</v>
      </c>
      <c r="O96" s="593"/>
      <c r="P96" s="345">
        <f t="shared" ref="P96" si="570">C95*E96*F95*N96/1000000*O95</f>
        <v>608.87750778424038</v>
      </c>
      <c r="Q96" s="218">
        <f>0.6037810576/G95-0.0052863845*G95+0.000423961*G95^2+0.3189943526</f>
        <v>0.50916860825670229</v>
      </c>
      <c r="R96" s="593"/>
      <c r="S96" s="345">
        <f t="shared" ref="S96" si="571">C95*E96*F95*Q96/1000000*R95</f>
        <v>52.967261889381859</v>
      </c>
      <c r="T96" s="218">
        <f t="shared" ref="T96" si="572">0.2877659/G95-0.008903887*G95+0.000069093*G95^2+0.516185391</f>
        <v>0.33631901740188841</v>
      </c>
      <c r="U96" s="593"/>
      <c r="V96" s="345">
        <f t="shared" ref="V96" si="573">C95*E96*F95*T96*U95</f>
        <v>11608.874194580781</v>
      </c>
      <c r="W96" s="598"/>
      <c r="X96" s="598"/>
      <c r="Y96" s="598"/>
      <c r="Z96" s="595"/>
      <c r="AA96" s="66"/>
    </row>
    <row r="97" spans="1:27" ht="15" customHeight="1">
      <c r="A97" s="604"/>
      <c r="B97" s="588" t="s">
        <v>54</v>
      </c>
      <c r="C97" s="586">
        <f>'ｼｰﾄNO.3（表-3）59頁'!$F$30</f>
        <v>9</v>
      </c>
      <c r="D97" s="216" t="s">
        <v>65</v>
      </c>
      <c r="E97" s="342">
        <f>'ｼｰﾄNO.4（表-4）60頁'!W24</f>
        <v>133</v>
      </c>
      <c r="F97" s="590">
        <f>'ｼｰﾄNO.4（表-4）60頁'!O24/1000</f>
        <v>0.82399999999999995</v>
      </c>
      <c r="G97" s="590">
        <f>'ｼｰﾄNO.4（表-4）60頁'!O24/1000/('ｼｰﾄNO.4（表-4）60頁'!T24/3600)</f>
        <v>28.523076923076921</v>
      </c>
      <c r="H97" s="219">
        <f>-2.71095565/G97-0.09453616*G97+0.00089493*G97^2+3.15403637</f>
        <v>1.090614460615126</v>
      </c>
      <c r="I97" s="592">
        <v>10000</v>
      </c>
      <c r="J97" s="343">
        <f t="shared" ref="J97" si="574">C97*E97*F97*H97/1000000*I97</f>
        <v>10.757035797095959</v>
      </c>
      <c r="K97" s="219">
        <f t="shared" ref="K97" si="575">1501.20185/G97-2.40935*G97+0.02115*G97^2+174.47635</f>
        <v>175.59232658424133</v>
      </c>
      <c r="L97" s="592">
        <v>2891</v>
      </c>
      <c r="M97" s="343">
        <f t="shared" ref="M97" si="576">C97*E97*F97*K97/1000000*L97</f>
        <v>500.69699740136997</v>
      </c>
      <c r="N97" s="219">
        <f>-0.25063622/G97-0.00657231*G97+0.00005332*G97^2+0.29056757</f>
        <v>0.1376972627690112</v>
      </c>
      <c r="O97" s="592">
        <v>840100</v>
      </c>
      <c r="P97" s="343">
        <f t="shared" ref="P97" si="577">C97*E97*F97*N97/1000000*O97</f>
        <v>114.0979007322232</v>
      </c>
      <c r="Q97" s="219">
        <f>0.093055673/G97-0.0002682273*G97+0.00000218*G97^2+0.0173678037</f>
        <v>1.4753179146136358E-2</v>
      </c>
      <c r="R97" s="592">
        <v>482200</v>
      </c>
      <c r="S97" s="343">
        <f t="shared" ref="S97" si="578">C97*E97*F97*Q97/1000000*R97</f>
        <v>7.0167206089060548</v>
      </c>
      <c r="T97" s="219">
        <f t="shared" ref="T97" si="579">0.630901162/G97-0.001006579*G97+0.000008915*G97^2+0.0072170055</f>
        <v>7.8781881831032213E-3</v>
      </c>
      <c r="U97" s="592">
        <v>160</v>
      </c>
      <c r="V97" s="343">
        <f t="shared" ref="V97" si="580">C97*E97*F97*T97*U97</f>
        <v>1243.2764150822136</v>
      </c>
      <c r="W97" s="598"/>
      <c r="X97" s="598"/>
      <c r="Y97" s="598"/>
      <c r="Z97" s="595"/>
      <c r="AA97" s="66"/>
    </row>
    <row r="98" spans="1:27" ht="15" customHeight="1">
      <c r="A98" s="604"/>
      <c r="B98" s="589"/>
      <c r="C98" s="587"/>
      <c r="D98" s="217" t="s">
        <v>66</v>
      </c>
      <c r="E98" s="344">
        <f>'ｼｰﾄNO.4（表-4）60頁'!W25</f>
        <v>7</v>
      </c>
      <c r="F98" s="591"/>
      <c r="G98" s="591"/>
      <c r="H98" s="218">
        <f>12.28697452/G97-0.05907844*G97+0.00051753*G97^2+2.69979197</f>
        <v>1.8665109593380467</v>
      </c>
      <c r="I98" s="593"/>
      <c r="J98" s="345">
        <f t="shared" ref="J98" si="581">C97*E98*F97*H98/1000000*I97</f>
        <v>0.96894316921156676</v>
      </c>
      <c r="K98" s="218">
        <f t="shared" ref="K98" si="582">908.52069/G97-23.49889*G97+0.18396*G97^2+1364.81344</f>
        <v>876.06850679459603</v>
      </c>
      <c r="L98" s="593"/>
      <c r="M98" s="345">
        <f t="shared" ref="M98" si="583">C97*E98*F97*K98/1000000*L97</f>
        <v>131.47825192676862</v>
      </c>
      <c r="N98" s="218">
        <f>9.45345681/G97-0.14325844*G97+0.00124097*G97^2+5.98054622</f>
        <v>3.2354174852760047</v>
      </c>
      <c r="O98" s="593"/>
      <c r="P98" s="345">
        <f t="shared" ref="P98" si="584">C97*E98*F97*N98/1000000*O97</f>
        <v>141.10066939559385</v>
      </c>
      <c r="Q98" s="218">
        <f>0.6037810576/G97-0.0052863845*G97+0.000423961*G97^2+0.3189943526</f>
        <v>0.53429878072260373</v>
      </c>
      <c r="R98" s="593"/>
      <c r="S98" s="345">
        <f t="shared" ref="S98" si="585">C97*E98*F97*Q98/1000000*R97</f>
        <v>13.374549126609184</v>
      </c>
      <c r="T98" s="218">
        <f t="shared" ref="T98" si="586">0.2877659/G97-0.008903887*G97+0.000069093*G97^2+0.516185391</f>
        <v>0.32851972708814747</v>
      </c>
      <c r="U98" s="593"/>
      <c r="V98" s="345">
        <f t="shared" ref="V98" si="587">C97*E98*F97*T98*U97</f>
        <v>2728.6585716159857</v>
      </c>
      <c r="W98" s="598"/>
      <c r="X98" s="598"/>
      <c r="Y98" s="598"/>
      <c r="Z98" s="595"/>
      <c r="AA98" s="66"/>
    </row>
    <row r="99" spans="1:27" ht="15" customHeight="1">
      <c r="A99" s="604"/>
      <c r="B99" s="588" t="s">
        <v>55</v>
      </c>
      <c r="C99" s="586">
        <f>'ｼｰﾄNO.3（表-3）59頁'!$F$30</f>
        <v>9</v>
      </c>
      <c r="D99" s="216" t="s">
        <v>65</v>
      </c>
      <c r="E99" s="342">
        <f>'ｼｰﾄNO.4（表-4）60頁'!W26</f>
        <v>47.5</v>
      </c>
      <c r="F99" s="590">
        <f>'ｼｰﾄNO.4（表-4）60頁'!O26/1000</f>
        <v>0.91</v>
      </c>
      <c r="G99" s="590">
        <f>'ｼｰﾄNO.4（表-4）60頁'!O26/1000/('ｼｰﾄNO.4（表-4）60頁'!T26/3600)</f>
        <v>22.90909090909091</v>
      </c>
      <c r="H99" s="219">
        <f>-2.71095565/G99-0.09453616*G99+0.00089493*G99^2+3.15403637</f>
        <v>1.3396464522592815</v>
      </c>
      <c r="I99" s="592">
        <v>10000</v>
      </c>
      <c r="J99" s="343">
        <f t="shared" ref="J99" si="588">C99*E99*F99*H99/1000000*I99</f>
        <v>5.21155961090167</v>
      </c>
      <c r="K99" s="219">
        <f t="shared" ref="K99" si="589">1501.20185/G99-2.40935*G99+0.02115*G99^2+174.47635</f>
        <v>195.90906333956445</v>
      </c>
      <c r="L99" s="592">
        <v>2891</v>
      </c>
      <c r="M99" s="343">
        <f t="shared" ref="M99" si="590">C99*E99*F99*K99/1000000*L99</f>
        <v>220.33329605016377</v>
      </c>
      <c r="N99" s="219">
        <f>-0.25063622/G99-0.00657231*G99+0.00005332*G99^2+0.29056757</f>
        <v>0.15704519892234028</v>
      </c>
      <c r="O99" s="592">
        <v>840100</v>
      </c>
      <c r="P99" s="343">
        <f t="shared" ref="P99" si="591">C99*E99*F99*N99/1000000*O99</f>
        <v>51.325496599892354</v>
      </c>
      <c r="Q99" s="219">
        <f>0.093055673/G99-0.0002682273*G99+0.00000218*G99^2+0.0173678037</f>
        <v>1.6429035733051291E-2</v>
      </c>
      <c r="R99" s="592">
        <v>482200</v>
      </c>
      <c r="S99" s="343">
        <f t="shared" ref="S99" si="592">C99*E99*F99*Q99/1000000*R99</f>
        <v>3.0818875728814445</v>
      </c>
      <c r="T99" s="219">
        <f t="shared" ref="T99" si="593">0.630901162/G99-0.001006579*G99+0.000008915*G99^2+0.0072170055</f>
        <v>1.6375359886921154E-2</v>
      </c>
      <c r="U99" s="592">
        <v>160</v>
      </c>
      <c r="V99" s="343">
        <f t="shared" ref="V99" si="594">C99*E99*F99*T99*U99</f>
        <v>1019.2679008015203</v>
      </c>
      <c r="W99" s="598"/>
      <c r="X99" s="598"/>
      <c r="Y99" s="598"/>
      <c r="Z99" s="595"/>
      <c r="AA99" s="66"/>
    </row>
    <row r="100" spans="1:27" ht="15" customHeight="1">
      <c r="A100" s="604"/>
      <c r="B100" s="589"/>
      <c r="C100" s="587"/>
      <c r="D100" s="217" t="s">
        <v>66</v>
      </c>
      <c r="E100" s="344">
        <f>'ｼｰﾄNO.4（表-4）60頁'!W27</f>
        <v>2.5</v>
      </c>
      <c r="F100" s="591"/>
      <c r="G100" s="591"/>
      <c r="H100" s="218">
        <f>12.28697452/G99-0.05907844*G99+0.00051753*G99^2+2.69979197</f>
        <v>2.154308237381608</v>
      </c>
      <c r="I100" s="593"/>
      <c r="J100" s="345">
        <f t="shared" ref="J100" si="595">C99*E100*F99*H100/1000000*I99</f>
        <v>0.4410946116038843</v>
      </c>
      <c r="K100" s="218">
        <f t="shared" ref="K100" si="596">908.52069/G99-23.49889*G99+0.18396*G99^2+1364.81344</f>
        <v>962.67995495179059</v>
      </c>
      <c r="L100" s="593"/>
      <c r="M100" s="345">
        <f t="shared" ref="M100" si="597">C99*E100*F99*K100/1000000*L99</f>
        <v>56.9841311764512</v>
      </c>
      <c r="N100" s="218">
        <f>9.45345681/G99-0.14325844*G99+0.00124097*G99^2+5.98054622</f>
        <v>3.7625703620867768</v>
      </c>
      <c r="O100" s="593"/>
      <c r="P100" s="345">
        <f t="shared" ref="P100" si="598">C99*E100*F99*N100/1000000*O99</f>
        <v>64.720151520346846</v>
      </c>
      <c r="Q100" s="218">
        <f>0.6037810576/G99-0.0052863845*G99+0.000423961*G99^2+0.3189943526</f>
        <v>0.44674955685638201</v>
      </c>
      <c r="R100" s="593"/>
      <c r="S100" s="345">
        <f t="shared" ref="S100" si="599">C99*E100*F99*Q100/1000000*R99</f>
        <v>4.4107784785731186</v>
      </c>
      <c r="T100" s="218">
        <f t="shared" ref="T100" si="600">0.2877659/G99-0.008903887*G99+0.000069093*G99^2+0.516185391</f>
        <v>0.3610284778462548</v>
      </c>
      <c r="U100" s="593"/>
      <c r="V100" s="345">
        <f t="shared" ref="V100" si="601">C99*E100*F99*T100*U99</f>
        <v>1182.729293424331</v>
      </c>
      <c r="W100" s="598"/>
      <c r="X100" s="598"/>
      <c r="Y100" s="598"/>
      <c r="Z100" s="595"/>
      <c r="AA100" s="66"/>
    </row>
    <row r="101" spans="1:27" ht="15" customHeight="1">
      <c r="A101" s="604"/>
      <c r="B101" s="588" t="s">
        <v>56</v>
      </c>
      <c r="C101" s="586">
        <f>'ｼｰﾄNO.3（表-3）59頁'!$F$30</f>
        <v>9</v>
      </c>
      <c r="D101" s="216" t="s">
        <v>65</v>
      </c>
      <c r="E101" s="342">
        <f>'ｼｰﾄNO.4（表-4）60頁'!W28</f>
        <v>743.84999999999991</v>
      </c>
      <c r="F101" s="590">
        <f>'ｼｰﾄNO.4（表-4）60頁'!O28/1000</f>
        <v>0.61699999999999999</v>
      </c>
      <c r="G101" s="590">
        <f>'ｼｰﾄNO.4（表-4）60頁'!O28/1000/('ｼｰﾄNO.4（表-4）60頁'!T28/3600)</f>
        <v>27.087804878048779</v>
      </c>
      <c r="H101" s="219">
        <f>-2.71095565/G101-0.09453616*G101+0.00089493*G101^2+3.15403637</f>
        <v>1.1498331610692509</v>
      </c>
      <c r="I101" s="592">
        <v>10000</v>
      </c>
      <c r="J101" s="343">
        <f t="shared" ref="J101" si="602">C101*E101*F101*H101/1000000*I101</f>
        <v>47.494997627711449</v>
      </c>
      <c r="K101" s="219">
        <f t="shared" ref="K101" si="603">1501.20185/G101-2.40935*G101+0.02115*G101^2+174.47635</f>
        <v>180.15098372041632</v>
      </c>
      <c r="L101" s="592">
        <v>2891</v>
      </c>
      <c r="M101" s="343">
        <f t="shared" ref="M101" si="604">C101*E101*F101*K101/1000000*L101</f>
        <v>2151.2841150752306</v>
      </c>
      <c r="N101" s="219">
        <f>-0.25063622/G101-0.00657231*G101+0.00005332*G101^2+0.29056757</f>
        <v>0.14240889225716619</v>
      </c>
      <c r="O101" s="592">
        <v>840100</v>
      </c>
      <c r="P101" s="343">
        <f t="shared" ref="P101" si="605">C101*E101*F101*N101/1000000*O101</f>
        <v>494.17541286146945</v>
      </c>
      <c r="Q101" s="219">
        <f>0.093055673/G101-0.0002682273*G101+0.00000218*G101^2+0.0173678037</f>
        <v>1.5137022719626959E-2</v>
      </c>
      <c r="R101" s="592">
        <v>482200</v>
      </c>
      <c r="S101" s="343">
        <f t="shared" ref="S101" si="606">C101*E101*F101*Q101/1000000*R101</f>
        <v>30.149541337113515</v>
      </c>
      <c r="T101" s="219">
        <f t="shared" ref="T101" si="607">0.630901162/G101-0.001006579*G101+0.000008915*G101^2+0.0072170055</f>
        <v>9.7833305544376171E-3</v>
      </c>
      <c r="U101" s="592">
        <v>160</v>
      </c>
      <c r="V101" s="343">
        <f t="shared" ref="V101" si="608">C101*E101*F101*T101*U101</f>
        <v>6465.7625430393591</v>
      </c>
      <c r="W101" s="598"/>
      <c r="X101" s="598"/>
      <c r="Y101" s="598"/>
      <c r="Z101" s="595"/>
      <c r="AA101" s="66"/>
    </row>
    <row r="102" spans="1:27" ht="15" customHeight="1">
      <c r="A102" s="605"/>
      <c r="B102" s="589"/>
      <c r="C102" s="587"/>
      <c r="D102" s="217" t="s">
        <v>66</v>
      </c>
      <c r="E102" s="344">
        <f>'ｼｰﾄNO.4（表-4）60頁'!W29</f>
        <v>39.150000000000006</v>
      </c>
      <c r="F102" s="591"/>
      <c r="G102" s="591"/>
      <c r="H102" s="218">
        <f>12.28697452/G101-0.05907844*G101+0.00051753*G101^2+2.69979197</f>
        <v>1.9328219392155921</v>
      </c>
      <c r="I102" s="593"/>
      <c r="J102" s="345">
        <f t="shared" ref="J102" si="609">C101*E102*F101*H102/1000000*I101</f>
        <v>4.2019539294437278</v>
      </c>
      <c r="K102" s="218">
        <f t="shared" ref="K102" si="610">908.52069/G101-23.49889*G101+0.18396*G101^2+1364.81344</f>
        <v>896.80043250303515</v>
      </c>
      <c r="L102" s="593"/>
      <c r="M102" s="345">
        <f t="shared" ref="M102" si="611">C101*E102*F101*K102/1000000*L101</f>
        <v>563.64199131712564</v>
      </c>
      <c r="N102" s="218">
        <f>9.45345681/G101-0.14325844*G101+0.00124097*G101^2+5.98054622</f>
        <v>3.3595433546140332</v>
      </c>
      <c r="O102" s="593"/>
      <c r="P102" s="345">
        <f t="shared" ref="P102" si="612">C101*E102*F101*N102/1000000*O101</f>
        <v>613.57926460110696</v>
      </c>
      <c r="Q102" s="218">
        <f>0.6037810576/G101-0.0052863845*G101+0.000423961*G101^2+0.3189943526</f>
        <v>0.50916860825670229</v>
      </c>
      <c r="R102" s="593"/>
      <c r="S102" s="345">
        <f t="shared" ref="S102" si="613">C101*E102*F101*Q102/1000000*R101</f>
        <v>53.376275494705276</v>
      </c>
      <c r="T102" s="218">
        <f t="shared" ref="T102" si="614">0.2877659/G101-0.008903887*G101+0.000069093*G101^2+0.516185391</f>
        <v>0.33631901740188841</v>
      </c>
      <c r="U102" s="593"/>
      <c r="V102" s="345">
        <f t="shared" ref="V102" si="615">C101*E102*F101*T102*U101</f>
        <v>11698.51801075515</v>
      </c>
      <c r="W102" s="599"/>
      <c r="X102" s="599"/>
      <c r="Y102" s="599"/>
      <c r="Z102" s="595"/>
      <c r="AA102" s="66"/>
    </row>
    <row r="103" spans="1:27" ht="15" customHeight="1">
      <c r="A103" s="603" t="s">
        <v>931</v>
      </c>
      <c r="B103" s="588" t="s">
        <v>45</v>
      </c>
      <c r="C103" s="586">
        <f>'ｼｰﾄNO.3（表-3）59頁'!$F$30</f>
        <v>9</v>
      </c>
      <c r="D103" s="216" t="s">
        <v>65</v>
      </c>
      <c r="E103" s="342">
        <f>'ｼｰﾄNO.4（表-4）60頁'!W33</f>
        <v>772.34999999999991</v>
      </c>
      <c r="F103" s="590">
        <f>'ｼｰﾄNO.4（表-4）60頁'!O33/1000</f>
        <v>1.054</v>
      </c>
      <c r="G103" s="590">
        <f>'ｼｰﾄNO.4（表-4）60頁'!O33/1000/('ｼｰﾄNO.4（表-4）60頁'!T33/3600)</f>
        <v>29.643750000000001</v>
      </c>
      <c r="H103" s="219">
        <f>-2.71095565/G103-0.09453616*G103+0.00089493*G103^2+3.15403637</f>
        <v>1.0466003564631281</v>
      </c>
      <c r="I103" s="592">
        <v>10000</v>
      </c>
      <c r="J103" s="343">
        <f>C103*E103*F103*H103/1000000*I103</f>
        <v>76.679301754914221</v>
      </c>
      <c r="K103" s="219">
        <f>1501.20185/G103-2.40935*G103+0.02115*G103^2+174.47635</f>
        <v>172.28121255158959</v>
      </c>
      <c r="L103" s="592">
        <v>2891</v>
      </c>
      <c r="M103" s="343">
        <f>C103*E103*F103*K103/1000000*L103</f>
        <v>3649.0791427542326</v>
      </c>
      <c r="N103" s="219">
        <f>-0.25063622/G103-0.00657231*G103+0.00005332*G103^2+0.29056757</f>
        <v>0.13413976437914132</v>
      </c>
      <c r="O103" s="592">
        <v>840100</v>
      </c>
      <c r="P103" s="343">
        <f>C103*E103*F103*N103/1000000*O103</f>
        <v>825.63062738522092</v>
      </c>
      <c r="Q103" s="219">
        <f>0.093055673/G103-0.0002682273*G103+0.00000218*G103^2+0.0173678037</f>
        <v>1.4471352818974903E-2</v>
      </c>
      <c r="R103" s="592">
        <v>482200</v>
      </c>
      <c r="S103" s="343">
        <f>C103*E103*F103*Q103/1000000*R103</f>
        <v>51.12503392653209</v>
      </c>
      <c r="T103" s="219">
        <f>0.630901162/G103-0.001006579*G103+0.000008915*G103^2+0.0072170055</f>
        <v>6.4950742292543343E-3</v>
      </c>
      <c r="U103" s="592">
        <v>160</v>
      </c>
      <c r="V103" s="343">
        <f>C103*E103*F103*T103*U103</f>
        <v>7613.7983889648076</v>
      </c>
      <c r="W103" s="597">
        <f>SUM(J103:J126)+SUM(M103:M126)+SUM(P103:P126)+SUM(S103:S126)+SUM(V103:V126)</f>
        <v>140959.9412307851</v>
      </c>
      <c r="X103" s="597">
        <f>'ｼｰﾄNO.3（表-3）59頁'!F39</f>
        <v>12</v>
      </c>
      <c r="Y103" s="597">
        <f>W103*X103</f>
        <v>1691519.2947694212</v>
      </c>
      <c r="Z103" s="595"/>
      <c r="AA103" s="66"/>
    </row>
    <row r="104" spans="1:27" ht="15" customHeight="1">
      <c r="A104" s="604"/>
      <c r="B104" s="589"/>
      <c r="C104" s="587"/>
      <c r="D104" s="217" t="s">
        <v>66</v>
      </c>
      <c r="E104" s="344">
        <f>'ｼｰﾄNO.4（表-4）60頁'!W34</f>
        <v>40.650000000000006</v>
      </c>
      <c r="F104" s="591"/>
      <c r="G104" s="591"/>
      <c r="H104" s="218">
        <f>12.28697452/G103-0.05907844*G103+0.00051753*G103^2+2.69979197</f>
        <v>1.8177538030136606</v>
      </c>
      <c r="I104" s="593"/>
      <c r="J104" s="345">
        <f>C103*E104*F103*H104/1000000*I103</f>
        <v>7.0093659118950544</v>
      </c>
      <c r="K104" s="218">
        <f>908.52069/G103-23.49889*G103+0.18396*G103^2+1364.81344</f>
        <v>860.52138928887075</v>
      </c>
      <c r="L104" s="593"/>
      <c r="M104" s="345">
        <f>C103*E104*F103*K104/1000000*L103</f>
        <v>959.29776275628376</v>
      </c>
      <c r="N104" s="218">
        <f>9.45345681/G103-0.14325844*G103+0.00124097*G103^2+5.98054622</f>
        <v>3.1432357925564749</v>
      </c>
      <c r="O104" s="593"/>
      <c r="P104" s="345">
        <f>C103*E104*F103*N104/1000000*O103</f>
        <v>1018.2434290554703</v>
      </c>
      <c r="Q104" s="218">
        <f>0.6037810576/G103-0.0052863845*G103+0.000423961*G103^2+0.3189943526</f>
        <v>0.55521053643067186</v>
      </c>
      <c r="R104" s="593"/>
      <c r="S104" s="345">
        <f>C103*E104*F103*Q104/1000000*R103</f>
        <v>103.235383532017</v>
      </c>
      <c r="T104" s="218">
        <f>0.2877659/G103-0.008903887*G103+0.000069093*G103^2+0.516185391</f>
        <v>0.32266386964951294</v>
      </c>
      <c r="U104" s="593"/>
      <c r="V104" s="345">
        <f>C103*E104*F103*T104*U103</f>
        <v>19907.374696589301</v>
      </c>
      <c r="W104" s="598"/>
      <c r="X104" s="598"/>
      <c r="Y104" s="598"/>
      <c r="Z104" s="595"/>
      <c r="AA104" s="66"/>
    </row>
    <row r="105" spans="1:27" ht="15" customHeight="1">
      <c r="A105" s="604"/>
      <c r="B105" s="588" t="s">
        <v>46</v>
      </c>
      <c r="C105" s="586">
        <f>'ｼｰﾄNO.3（表-3）59頁'!$F$30</f>
        <v>9</v>
      </c>
      <c r="D105" s="216" t="s">
        <v>65</v>
      </c>
      <c r="E105" s="342">
        <f>'ｼｰﾄNO.4（表-4）60頁'!W35</f>
        <v>148.19999999999999</v>
      </c>
      <c r="F105" s="590">
        <f>'ｼｰﾄNO.4（表-4）60頁'!O35/1000</f>
        <v>0.76100000000000001</v>
      </c>
      <c r="G105" s="590">
        <f>'ｼｰﾄNO.4（表-4）60頁'!O35/1000/('ｼｰﾄNO.4（表-4）60頁'!T35/3600)</f>
        <v>27.955102040816328</v>
      </c>
      <c r="H105" s="219">
        <f>-2.71095565/G105-0.09453616*G105+0.00089493*G105^2+3.15403637</f>
        <v>1.1136698404962537</v>
      </c>
      <c r="I105" s="592">
        <v>10000</v>
      </c>
      <c r="J105" s="343">
        <f t="shared" ref="J105" si="616">C105*E105*F105*H105/1000000*I105</f>
        <v>11.303991661062202</v>
      </c>
      <c r="K105" s="219">
        <f t="shared" ref="K105" si="617">1501.20185/G105-2.40935*G105+0.02115*G105^2+174.47635</f>
        <v>177.35165078551574</v>
      </c>
      <c r="L105" s="592">
        <v>2891</v>
      </c>
      <c r="M105" s="343">
        <f t="shared" ref="M105" si="618">C105*E105*F105*K105/1000000*L105</f>
        <v>520.42565413220871</v>
      </c>
      <c r="N105" s="219">
        <f>-0.25063622/G105-0.00657231*G105+0.00005332*G105^2+0.29056757</f>
        <v>0.13954122906549798</v>
      </c>
      <c r="O105" s="592">
        <v>840100</v>
      </c>
      <c r="P105" s="343">
        <f t="shared" ref="P105" si="619">C105*E105*F105*N105/1000000*O105</f>
        <v>118.98957091918027</v>
      </c>
      <c r="Q105" s="219">
        <f>0.093055673/G105-0.0002682273*G105+0.00000218*G105^2+0.0173678037</f>
        <v>1.4901879955931608E-2</v>
      </c>
      <c r="R105" s="592">
        <v>482200</v>
      </c>
      <c r="S105" s="343">
        <f t="shared" ref="S105" si="620">C105*E105*F105*Q105/1000000*R105</f>
        <v>7.2936284604374961</v>
      </c>
      <c r="T105" s="219">
        <f t="shared" ref="T105" si="621">0.630901162/G105-0.001006579*G105+0.000008915*G105^2+0.0072170055</f>
        <v>8.6133226666943175E-3</v>
      </c>
      <c r="U105" s="592">
        <v>160</v>
      </c>
      <c r="V105" s="343">
        <f t="shared" ref="V105" si="622">C105*E105*F105*T105*U105</f>
        <v>1398.8336443406185</v>
      </c>
      <c r="W105" s="598"/>
      <c r="X105" s="598"/>
      <c r="Y105" s="598"/>
      <c r="Z105" s="595"/>
      <c r="AA105" s="66"/>
    </row>
    <row r="106" spans="1:27" ht="15" customHeight="1">
      <c r="A106" s="604"/>
      <c r="B106" s="589"/>
      <c r="C106" s="587"/>
      <c r="D106" s="217" t="s">
        <v>66</v>
      </c>
      <c r="E106" s="344">
        <f>'ｼｰﾄNO.4（表-4）60頁'!W36</f>
        <v>7.8000000000000007</v>
      </c>
      <c r="F106" s="591"/>
      <c r="G106" s="591"/>
      <c r="H106" s="218">
        <f>12.28697452/G105-0.05907844*G105+0.00051753*G105^2+2.69979197</f>
        <v>1.8922167930969032</v>
      </c>
      <c r="I106" s="593"/>
      <c r="J106" s="345">
        <f t="shared" ref="J106" si="623">C105*E106*F105*H106/1000000*I105</f>
        <v>1.0108638396418139</v>
      </c>
      <c r="K106" s="218">
        <f t="shared" ref="K106" si="624">908.52069/G105-23.49889*G105+0.18396*G105^2+1364.81344</f>
        <v>884.1613350837506</v>
      </c>
      <c r="L106" s="593"/>
      <c r="M106" s="345">
        <f t="shared" ref="M106" si="625">C105*E106*F105*K106/1000000*L105</f>
        <v>136.55304206474631</v>
      </c>
      <c r="N106" s="218">
        <f>9.45345681/G105-0.14325844*G105+0.00124097*G105^2+5.98054622</f>
        <v>3.2837104457456512</v>
      </c>
      <c r="O106" s="593"/>
      <c r="P106" s="345">
        <f t="shared" ref="P106" si="626">C105*E106*F105*N106/1000000*O105</f>
        <v>147.37289269037666</v>
      </c>
      <c r="Q106" s="218">
        <f>0.6037810576/G105-0.0052863845*G105+0.000423961*G105^2+0.3189943526</f>
        <v>0.52413149597119757</v>
      </c>
      <c r="R106" s="593"/>
      <c r="S106" s="345">
        <f t="shared" ref="S106" si="627">C105*E106*F105*Q106/1000000*R105</f>
        <v>13.501724216683765</v>
      </c>
      <c r="T106" s="218">
        <f t="shared" ref="T106" si="628">0.2877659/G105-0.008903887*G105+0.000069093*G105^2+0.516185391</f>
        <v>0.33156551285231084</v>
      </c>
      <c r="U106" s="593"/>
      <c r="V106" s="345">
        <f t="shared" ref="V106" si="629">C105*E106*F105*T106*U105</f>
        <v>2834.0734625117957</v>
      </c>
      <c r="W106" s="598"/>
      <c r="X106" s="598"/>
      <c r="Y106" s="598"/>
      <c r="Z106" s="595"/>
      <c r="AA106" s="66"/>
    </row>
    <row r="107" spans="1:27" ht="15" customHeight="1">
      <c r="A107" s="604"/>
      <c r="B107" s="588" t="s">
        <v>47</v>
      </c>
      <c r="C107" s="586">
        <f>'ｼｰﾄNO.3（表-3）59頁'!$F$30</f>
        <v>9</v>
      </c>
      <c r="D107" s="216" t="s">
        <v>65</v>
      </c>
      <c r="E107" s="342">
        <f>'ｼｰﾄNO.4（表-4）60頁'!W37</f>
        <v>41.8</v>
      </c>
      <c r="F107" s="590">
        <f>'ｼｰﾄNO.4（表-4）60頁'!O37/1000</f>
        <v>0.82399999999999995</v>
      </c>
      <c r="G107" s="590">
        <f>'ｼｰﾄNO.4（表-4）60頁'!O37/1000/('ｼｰﾄNO.4（表-4）60頁'!T37/3600)</f>
        <v>24.927731092436975</v>
      </c>
      <c r="H107" s="219">
        <f>-2.71095565/G107-0.09453616*G107+0.00089493*G107^2+3.15403637</f>
        <v>1.2448139350987362</v>
      </c>
      <c r="I107" s="592">
        <v>10000</v>
      </c>
      <c r="J107" s="343">
        <f t="shared" ref="J107" si="630">C107*E107*F107*H107/1000000*I107</f>
        <v>3.8587837796453504</v>
      </c>
      <c r="K107" s="219">
        <f t="shared" ref="K107" si="631">1501.20185/G107-2.40935*G107+0.02115*G107^2+174.47635</f>
        <v>187.78131877798023</v>
      </c>
      <c r="L107" s="592">
        <v>2891</v>
      </c>
      <c r="M107" s="343">
        <f t="shared" ref="M107" si="632">C107*E107*F107*K107/1000000*L107</f>
        <v>168.28541549313667</v>
      </c>
      <c r="N107" s="219">
        <f>-0.25063622/G107-0.00657231*G107+0.00005332*G107^2+0.29056757</f>
        <v>0.14981288928616346</v>
      </c>
      <c r="O107" s="592">
        <v>840100</v>
      </c>
      <c r="P107" s="343">
        <f t="shared" ref="P107" si="633">C107*E107*F107*N107/1000000*O107</f>
        <v>39.014510962231988</v>
      </c>
      <c r="Q107" s="219">
        <f>0.093055673/G107-0.0002682273*G107+0.00000218*G107^2+0.0173678037</f>
        <v>1.5769157934508494E-2</v>
      </c>
      <c r="R107" s="592">
        <v>482200</v>
      </c>
      <c r="S107" s="343">
        <f t="shared" ref="S107" si="634">C107*E107*F107*Q107/1000000*R107</f>
        <v>2.3571201028210909</v>
      </c>
      <c r="T107" s="219">
        <f t="shared" ref="T107" si="635">0.630901162/G107-0.001006579*G107+0.000008915*G107^2+0.0072170055</f>
        <v>1.2974191796488203E-2</v>
      </c>
      <c r="U107" s="592">
        <v>160</v>
      </c>
      <c r="V107" s="343">
        <f t="shared" ref="V107" si="636">C107*E107*F107*T107*U107</f>
        <v>643.49666335411553</v>
      </c>
      <c r="W107" s="598"/>
      <c r="X107" s="598"/>
      <c r="Y107" s="598"/>
      <c r="Z107" s="595"/>
      <c r="AA107" s="66"/>
    </row>
    <row r="108" spans="1:27" ht="15" customHeight="1">
      <c r="A108" s="604"/>
      <c r="B108" s="589"/>
      <c r="C108" s="587"/>
      <c r="D108" s="217" t="s">
        <v>66</v>
      </c>
      <c r="E108" s="344">
        <f>'ｼｰﾄNO.4（表-4）60頁'!W38</f>
        <v>2.2000000000000002</v>
      </c>
      <c r="F108" s="591"/>
      <c r="G108" s="591"/>
      <c r="H108" s="218">
        <f>12.28697452/G107-0.05907844*G107+0.00051753*G107^2+2.69979197</f>
        <v>2.0415932365843594</v>
      </c>
      <c r="I108" s="593"/>
      <c r="J108" s="345">
        <f t="shared" ref="J108" si="637">C107*E108*F107*H108/1000000*I107</f>
        <v>0.33309001973521141</v>
      </c>
      <c r="K108" s="218">
        <f t="shared" ref="K108" si="638">908.52069/G107-23.49889*G107+0.18396*G107^2+1364.81344</f>
        <v>929.79684512079211</v>
      </c>
      <c r="L108" s="593"/>
      <c r="M108" s="345">
        <f t="shared" ref="M108" si="639">C107*E108*F107*K108/1000000*L107</f>
        <v>43.855953920405135</v>
      </c>
      <c r="N108" s="218">
        <f>9.45345681/G107-0.14325844*G107+0.00124097*G107^2+5.98054622</f>
        <v>3.5598014520360097</v>
      </c>
      <c r="O108" s="593"/>
      <c r="P108" s="345">
        <f t="shared" ref="P108" si="640">C107*E108*F107*N108/1000000*O107</f>
        <v>48.792060913481663</v>
      </c>
      <c r="Q108" s="218">
        <f>0.6037810576/G107-0.0052863845*G107+0.000423961*G107^2+0.3189943526</f>
        <v>0.47488392074238339</v>
      </c>
      <c r="R108" s="593"/>
      <c r="S108" s="345">
        <f t="shared" ref="S108" si="641">C107*E108*F107*Q108/1000000*R107</f>
        <v>3.736001766490276</v>
      </c>
      <c r="T108" s="218">
        <f t="shared" ref="T108" si="642">0.2877659/G107-0.008903887*G107+0.000069093*G107^2+0.516185391</f>
        <v>0.34870951917435056</v>
      </c>
      <c r="U108" s="593"/>
      <c r="V108" s="345">
        <f t="shared" ref="V108" si="643">C107*E108*F107*T108*U107</f>
        <v>910.2824875573383</v>
      </c>
      <c r="W108" s="598"/>
      <c r="X108" s="598"/>
      <c r="Y108" s="598"/>
      <c r="Z108" s="595"/>
      <c r="AA108" s="66"/>
    </row>
    <row r="109" spans="1:27" ht="15" customHeight="1">
      <c r="A109" s="604"/>
      <c r="B109" s="588" t="s">
        <v>48</v>
      </c>
      <c r="C109" s="586">
        <f>'ｼｰﾄNO.3（表-3）59頁'!$F$30</f>
        <v>9</v>
      </c>
      <c r="D109" s="216" t="s">
        <v>65</v>
      </c>
      <c r="E109" s="342">
        <f>'ｼｰﾄNO.4（表-4）60頁'!W39</f>
        <v>753.34999999999991</v>
      </c>
      <c r="F109" s="590">
        <f>'ｼｰﾄNO.4（表-4）60頁'!O39/1000</f>
        <v>1.054</v>
      </c>
      <c r="G109" s="590">
        <f>'ｼｰﾄNO.4（表-4）60頁'!O39/1000/('ｼｰﾄNO.4（表-4）60頁'!T39/3600)</f>
        <v>30.6</v>
      </c>
      <c r="H109" s="219">
        <f>-2.71095565/G109-0.09453616*G109+0.00089493*G109^2+3.15403637</f>
        <v>1.0106132069045755</v>
      </c>
      <c r="I109" s="592">
        <v>10000</v>
      </c>
      <c r="J109" s="343">
        <f t="shared" ref="J109" si="644">C109*E109*F109*H109/1000000*I109</f>
        <v>72.221230280729358</v>
      </c>
      <c r="K109" s="219">
        <f t="shared" ref="K109" si="645">1501.20185/G109-2.40935*G109+0.02115*G109^2+174.47635</f>
        <v>169.61313798692811</v>
      </c>
      <c r="L109" s="592">
        <v>2891</v>
      </c>
      <c r="M109" s="343">
        <f t="shared" ref="M109" si="646">C109*E109*F109*K109/1000000*L109</f>
        <v>3504.1887711767467</v>
      </c>
      <c r="N109" s="219">
        <f>-0.25063622/G109-0.00657231*G109+0.00005332*G109^2+0.29056757</f>
        <v>0.13119087305620916</v>
      </c>
      <c r="O109" s="592">
        <v>840100</v>
      </c>
      <c r="P109" s="343">
        <f t="shared" ref="P109" si="647">C109*E109*F109*N109/1000000*O109</f>
        <v>787.61598160113681</v>
      </c>
      <c r="Q109" s="219">
        <f>0.093055673/G109-0.0002682273*G109+0.00000218*G109^2+0.0173678037</f>
        <v>1.4242348185359476E-2</v>
      </c>
      <c r="R109" s="592">
        <v>482200</v>
      </c>
      <c r="S109" s="343">
        <f t="shared" ref="S109" si="648">C109*E109*F109*Q109/1000000*R109</f>
        <v>49.078210364257536</v>
      </c>
      <c r="T109" s="219">
        <f t="shared" ref="T109" si="649">0.630901162/G109-0.001006579*G109+0.000008915*G109^2+0.0072170055</f>
        <v>5.3810225326797346E-3</v>
      </c>
      <c r="U109" s="592">
        <v>160</v>
      </c>
      <c r="V109" s="343">
        <f t="shared" ref="V109" si="650">C109*E109*F109*T109*U109</f>
        <v>6152.6853569433151</v>
      </c>
      <c r="W109" s="598"/>
      <c r="X109" s="598"/>
      <c r="Y109" s="598"/>
      <c r="Z109" s="595"/>
      <c r="AA109" s="66"/>
    </row>
    <row r="110" spans="1:27" ht="15" customHeight="1">
      <c r="A110" s="604"/>
      <c r="B110" s="589"/>
      <c r="C110" s="587"/>
      <c r="D110" s="217" t="s">
        <v>66</v>
      </c>
      <c r="E110" s="344">
        <f>'ｼｰﾄNO.4（表-4）60頁'!W40</f>
        <v>39.650000000000006</v>
      </c>
      <c r="F110" s="591"/>
      <c r="G110" s="591"/>
      <c r="H110" s="218">
        <f>12.28697452/G109-0.05907844*G109+0.00051753*G109^2+2.69979197</f>
        <v>1.7781212118326797</v>
      </c>
      <c r="I110" s="593"/>
      <c r="J110" s="345">
        <f t="shared" ref="J110" si="651">C109*E110*F109*H110/1000000*I109</f>
        <v>6.6878677238238646</v>
      </c>
      <c r="K110" s="218">
        <f t="shared" ref="K110" si="652">908.52069/G109-23.49889*G109+0.18396*G109^2+1364.81344</f>
        <v>847.69041022745091</v>
      </c>
      <c r="L110" s="593"/>
      <c r="M110" s="345">
        <f t="shared" ref="M110" si="653">C109*E110*F109*K110/1000000*L109</f>
        <v>921.74687465362149</v>
      </c>
      <c r="N110" s="218">
        <f>9.45345681/G109-0.14325844*G109+0.00124097*G109^2+5.98054622</f>
        <v>3.0677691222588237</v>
      </c>
      <c r="O110" s="593"/>
      <c r="P110" s="345">
        <f t="shared" ref="P110" si="654">C109*E110*F109*N110/1000000*O109</f>
        <v>969.3485579106931</v>
      </c>
      <c r="Q110" s="218">
        <f>0.6037810576/G109-0.0052863845*G109+0.000423961*G109^2+0.3189943526</f>
        <v>0.57394251597111112</v>
      </c>
      <c r="R110" s="593"/>
      <c r="S110" s="345">
        <f t="shared" ref="S110" si="655">C109*E110*F109*Q110/1000000*R109</f>
        <v>104.09309346591348</v>
      </c>
      <c r="T110" s="218">
        <f t="shared" ref="T110" si="656">0.2877659/G109-0.008903887*G109+0.000069093*G109^2+0.516185391</f>
        <v>0.31782648465908503</v>
      </c>
      <c r="U110" s="593"/>
      <c r="V110" s="345">
        <f t="shared" ref="V110" si="657">C109*E110*F109*T110*U109</f>
        <v>19126.538500372259</v>
      </c>
      <c r="W110" s="598"/>
      <c r="X110" s="598"/>
      <c r="Y110" s="598"/>
      <c r="Z110" s="595"/>
      <c r="AA110" s="66"/>
    </row>
    <row r="111" spans="1:27" ht="15" customHeight="1">
      <c r="A111" s="604"/>
      <c r="B111" s="588" t="s">
        <v>49</v>
      </c>
      <c r="C111" s="586">
        <f>'ｼｰﾄNO.3（表-3）59頁'!$F$30</f>
        <v>9</v>
      </c>
      <c r="D111" s="216" t="s">
        <v>65</v>
      </c>
      <c r="E111" s="342">
        <f>'ｼｰﾄNO.4（表-4）60頁'!W41</f>
        <v>39.9</v>
      </c>
      <c r="F111" s="590">
        <f>'ｼｰﾄNO.4（表-4）60頁'!O41/1000</f>
        <v>0.84799999999999998</v>
      </c>
      <c r="G111" s="590">
        <f>'ｼｰﾄNO.4（表-4）60頁'!O41/1000/('ｼｰﾄNO.4（表-4）60頁'!T41/3600)</f>
        <v>22.613333333333333</v>
      </c>
      <c r="H111" s="219">
        <f>-2.71095565/G111-0.09453616*G111+0.00089493*G111^2+3.15403637</f>
        <v>1.3540095598927391</v>
      </c>
      <c r="I111" s="592">
        <v>10000</v>
      </c>
      <c r="J111" s="343">
        <f t="shared" ref="J111" si="658">C111*E111*F111*H111/1000000*I111</f>
        <v>4.1231865834794519</v>
      </c>
      <c r="K111" s="219">
        <f t="shared" ref="K111" si="659">1501.20185/G111-2.40935*G111+0.02115*G111^2+174.47635</f>
        <v>197.19393451102201</v>
      </c>
      <c r="L111" s="592">
        <v>2891</v>
      </c>
      <c r="M111" s="343">
        <f t="shared" ref="M111" si="660">C111*E111*F111*K111/1000000*L111</f>
        <v>173.60127136519699</v>
      </c>
      <c r="N111" s="219">
        <f>-0.25063622/G111-0.00657231*G111+0.00005332*G111^2+0.29056757</f>
        <v>0.15812804080870232</v>
      </c>
      <c r="O111" s="592">
        <v>840100</v>
      </c>
      <c r="P111" s="343">
        <f t="shared" ref="P111" si="661">C111*E111*F111*N111/1000000*O111</f>
        <v>40.453037045459503</v>
      </c>
      <c r="Q111" s="219">
        <f>0.093055673/G111-0.0002682273*G111+0.00000218*G111^2+0.0173678037</f>
        <v>1.6532141236016248E-2</v>
      </c>
      <c r="R111" s="592">
        <v>482200</v>
      </c>
      <c r="S111" s="343">
        <f t="shared" ref="S111" si="662">C111*E111*F111*Q111/1000000*R111</f>
        <v>2.4275465706850095</v>
      </c>
      <c r="T111" s="219">
        <f t="shared" ref="T111" si="663">0.630901162/G111-0.001006579*G111+0.000008915*G111^2+0.0072170055</f>
        <v>1.6913219530124743E-2</v>
      </c>
      <c r="U111" s="592">
        <v>160</v>
      </c>
      <c r="V111" s="343">
        <f t="shared" ref="V111" si="664">C111*E111*F111*T111*U111</f>
        <v>824.05751824177446</v>
      </c>
      <c r="W111" s="598"/>
      <c r="X111" s="598"/>
      <c r="Y111" s="598"/>
      <c r="Z111" s="595"/>
      <c r="AA111" s="66"/>
    </row>
    <row r="112" spans="1:27" ht="15" customHeight="1">
      <c r="A112" s="604"/>
      <c r="B112" s="589"/>
      <c r="C112" s="587"/>
      <c r="D112" s="217" t="s">
        <v>66</v>
      </c>
      <c r="E112" s="344">
        <f>'ｼｰﾄNO.4（表-4）60頁'!W42</f>
        <v>2.1</v>
      </c>
      <c r="F112" s="591"/>
      <c r="G112" s="591"/>
      <c r="H112" s="218">
        <f>12.28697452/G111-0.05907844*G111+0.00051753*G111^2+2.69979197</f>
        <v>2.1718280043001132</v>
      </c>
      <c r="I112" s="593"/>
      <c r="J112" s="345">
        <f t="shared" ref="J112" si="665">C111*E112*F111*H112/1000000*I111</f>
        <v>0.34808321790518776</v>
      </c>
      <c r="K112" s="218">
        <f t="shared" ref="K112" si="666">908.52069/G111-23.49889*G111+0.18396*G111^2+1364.81344</f>
        <v>967.67184401344969</v>
      </c>
      <c r="L112" s="593"/>
      <c r="M112" s="345">
        <f t="shared" ref="M112" si="667">C111*E112*F111*K112/1000000*L111</f>
        <v>44.8367218856745</v>
      </c>
      <c r="N112" s="218">
        <f>9.45345681/G111-0.14325844*G111+0.00124097*G111^2+5.98054622</f>
        <v>3.7936292257149553</v>
      </c>
      <c r="O112" s="593"/>
      <c r="P112" s="345">
        <f t="shared" ref="P112" si="668">C111*E112*F111*N112/1000000*O111</f>
        <v>51.079133759590775</v>
      </c>
      <c r="Q112" s="218">
        <f>0.6037810576/G111-0.0052863845*G111+0.000423961*G111^2+0.3189943526</f>
        <v>0.4429497043225048</v>
      </c>
      <c r="R112" s="593"/>
      <c r="S112" s="345">
        <f t="shared" ref="S112" si="669">C111*E112*F111*Q112/1000000*R111</f>
        <v>3.4232552162389305</v>
      </c>
      <c r="T112" s="218">
        <f t="shared" ref="T112" si="670">0.2877659/G111-0.008903887*G111+0.000069093*G111^2+0.516185391</f>
        <v>0.3628959160749422</v>
      </c>
      <c r="U112" s="593"/>
      <c r="V112" s="345">
        <f t="shared" ref="V112" si="671">C111*E112*F111*T112*U111</f>
        <v>930.59286817861016</v>
      </c>
      <c r="W112" s="598"/>
      <c r="X112" s="598"/>
      <c r="Y112" s="598"/>
      <c r="Z112" s="595"/>
      <c r="AA112" s="66"/>
    </row>
    <row r="113" spans="1:27" ht="15" customHeight="1">
      <c r="A113" s="604"/>
      <c r="B113" s="588" t="s">
        <v>50</v>
      </c>
      <c r="C113" s="586">
        <f>'ｼｰﾄNO.3（表-3）59頁'!$F$30</f>
        <v>9</v>
      </c>
      <c r="D113" s="216" t="s">
        <v>65</v>
      </c>
      <c r="E113" s="342">
        <f>'ｼｰﾄNO.4（表-4）60頁'!W43</f>
        <v>147.25</v>
      </c>
      <c r="F113" s="590">
        <f>'ｼｰﾄNO.4（表-4）60頁'!O43/1000</f>
        <v>0.91</v>
      </c>
      <c r="G113" s="590">
        <f>'ｼｰﾄNO.4（表-4）60頁'!O43/1000/('ｼｰﾄNO.4（表-4）60頁'!T43/3600)</f>
        <v>30.055045871559635</v>
      </c>
      <c r="H113" s="219">
        <f>-2.71095565/G113-0.09453616*G113+0.00089493*G113^2+3.15403637</f>
        <v>1.030943504144429</v>
      </c>
      <c r="I113" s="592">
        <v>10000</v>
      </c>
      <c r="J113" s="343">
        <f t="shared" ref="J113" si="672">C113*E113*F113*H113/1000000*I113</f>
        <v>12.432946697693382</v>
      </c>
      <c r="K113" s="219">
        <f t="shared" ref="K113" si="673">1501.20185/G113-2.40935*G113+0.02115*G113^2+174.47635</f>
        <v>171.11655572795735</v>
      </c>
      <c r="L113" s="592">
        <v>2891</v>
      </c>
      <c r="M113" s="343">
        <f t="shared" ref="M113" si="674">C113*E113*F113*K113/1000000*L113</f>
        <v>596.59461220292803</v>
      </c>
      <c r="N113" s="219">
        <f>-0.25063622/G113-0.00657231*G113+0.00005332*G113^2+0.29056757</f>
        <v>0.13286151647220723</v>
      </c>
      <c r="O113" s="592">
        <v>840100</v>
      </c>
      <c r="P113" s="343">
        <f t="shared" ref="P113" si="675">C113*E113*F113*N113/1000000*O113</f>
        <v>134.60754236429162</v>
      </c>
      <c r="Q113" s="219">
        <f>0.093055673/G113-0.0002682273*G113+0.00000218*G113^2+0.0173678037</f>
        <v>1.4371601212148963E-2</v>
      </c>
      <c r="R113" s="592">
        <v>482200</v>
      </c>
      <c r="S113" s="343">
        <f t="shared" ref="S113" si="676">C113*E113*F113*Q113/1000000*R113</f>
        <v>8.3574073173375147</v>
      </c>
      <c r="T113" s="219">
        <f t="shared" ref="T113" si="677">0.630901162/G113-0.001006579*G113+0.000008915*G113^2+0.0072170055</f>
        <v>6.0087207101030028E-3</v>
      </c>
      <c r="U113" s="592">
        <v>160</v>
      </c>
      <c r="V113" s="343">
        <f t="shared" ref="V113" si="678">C113*E113*F113*T113*U113</f>
        <v>1159.4211168269189</v>
      </c>
      <c r="W113" s="598"/>
      <c r="X113" s="598"/>
      <c r="Y113" s="598"/>
      <c r="Z113" s="595"/>
      <c r="AA113" s="66"/>
    </row>
    <row r="114" spans="1:27" ht="15" customHeight="1">
      <c r="A114" s="604"/>
      <c r="B114" s="589"/>
      <c r="C114" s="587"/>
      <c r="D114" s="217" t="s">
        <v>66</v>
      </c>
      <c r="E114" s="344">
        <f>'ｼｰﾄNO.4（表-4）60頁'!W44</f>
        <v>7.75</v>
      </c>
      <c r="F114" s="591"/>
      <c r="G114" s="591"/>
      <c r="H114" s="218">
        <f>12.28697452/G113-0.05907844*G113+0.00051753*G113^2+2.69979197</f>
        <v>1.8004902841038075</v>
      </c>
      <c r="I114" s="593"/>
      <c r="J114" s="345">
        <f t="shared" ref="J114" si="679">C113*E114*F113*H114/1000000*I113</f>
        <v>1.1428161955777894</v>
      </c>
      <c r="K114" s="218">
        <f t="shared" ref="K114" si="680">908.52069/G113-23.49889*G113+0.18396*G113^2+1364.81344</f>
        <v>854.95391259522842</v>
      </c>
      <c r="L114" s="593"/>
      <c r="M114" s="345">
        <f t="shared" ref="M114" si="681">C113*E114*F113*K114/1000000*L113</f>
        <v>156.88318586992705</v>
      </c>
      <c r="N114" s="218">
        <f>9.45345681/G113-0.14325844*G113+0.00124097*G113^2+5.98054622</f>
        <v>3.11042070390894</v>
      </c>
      <c r="O114" s="593"/>
      <c r="P114" s="345">
        <f t="shared" ref="P114" si="682">C113*E114*F113*N114/1000000*O113</f>
        <v>165.85773224605546</v>
      </c>
      <c r="Q114" s="218">
        <f>0.6037810576/G113-0.0052863845*G113+0.000423961*G113^2+0.3189943526</f>
        <v>0.56316742112801155</v>
      </c>
      <c r="R114" s="593"/>
      <c r="S114" s="345">
        <f t="shared" ref="S114" si="683">C113*E114*F113*Q114/1000000*R113</f>
        <v>17.236549603125507</v>
      </c>
      <c r="T114" s="218">
        <f t="shared" ref="T114" si="684">0.2877659/G113-0.008903887*G113+0.000069093*G113^2+0.516185391</f>
        <v>0.32056539374004506</v>
      </c>
      <c r="U114" s="593"/>
      <c r="V114" s="345">
        <f t="shared" ref="V114" si="685">C113*E114*F113*T114*U113</f>
        <v>3255.5339126664016</v>
      </c>
      <c r="W114" s="598"/>
      <c r="X114" s="598"/>
      <c r="Y114" s="598"/>
      <c r="Z114" s="595"/>
      <c r="AA114" s="66"/>
    </row>
    <row r="115" spans="1:27" ht="15" customHeight="1">
      <c r="A115" s="604"/>
      <c r="B115" s="588" t="s">
        <v>51</v>
      </c>
      <c r="C115" s="586">
        <f>'ｼｰﾄNO.3（表-3）59頁'!$F$30</f>
        <v>9</v>
      </c>
      <c r="D115" s="216" t="s">
        <v>65</v>
      </c>
      <c r="E115" s="342">
        <f>'ｼｰﾄNO.4（表-4）60頁'!W45</f>
        <v>54.15</v>
      </c>
      <c r="F115" s="590">
        <f>'ｼｰﾄNO.4（表-4）60頁'!O45/1000</f>
        <v>0.76100000000000001</v>
      </c>
      <c r="G115" s="590">
        <f>'ｼｰﾄNO.4（表-4）60頁'!O45/1000/('ｼｰﾄNO.4（表-4）60頁'!T45/3600)</f>
        <v>22.641322314049585</v>
      </c>
      <c r="H115" s="219">
        <f>-2.71095565/G115-0.09453616*G115+0.00089493*G115^2+3.15403637</f>
        <v>1.3526453340932798</v>
      </c>
      <c r="I115" s="592">
        <v>10000</v>
      </c>
      <c r="J115" s="343">
        <f t="shared" ref="J115" si="686">C115*E115*F115*H115/1000000*I115</f>
        <v>5.0166010641704384</v>
      </c>
      <c r="K115" s="219">
        <f t="shared" ref="K115" si="687">1501.20185/G115-2.40935*G115+0.02115*G115^2+174.47635</f>
        <v>197.07122317498113</v>
      </c>
      <c r="L115" s="592">
        <v>2891</v>
      </c>
      <c r="M115" s="343">
        <f t="shared" ref="M115" si="688">C115*E115*F115*K115/1000000*L115</f>
        <v>211.29875152721084</v>
      </c>
      <c r="N115" s="219">
        <f>-0.25063622/G115-0.00657231*G115+0.00005332*G115^2+0.29056757</f>
        <v>0.15802532673956798</v>
      </c>
      <c r="O115" s="592">
        <v>840100</v>
      </c>
      <c r="P115" s="343">
        <f t="shared" ref="P115" si="689">C115*E115*F115*N115/1000000*O115</f>
        <v>49.236061880939722</v>
      </c>
      <c r="Q115" s="219">
        <f>0.093055673/G115-0.0002682273*G115+0.00000218*G115^2+0.0173678037</f>
        <v>1.6522308062949704E-2</v>
      </c>
      <c r="R115" s="592">
        <v>482200</v>
      </c>
      <c r="S115" s="343">
        <f t="shared" ref="S115" si="690">C115*E115*F115*Q115/1000000*R115</f>
        <v>2.9547690999286043</v>
      </c>
      <c r="T115" s="219">
        <f t="shared" ref="T115" si="691">0.630901162/G115-0.001006579*G115+0.000008915*G115^2+0.0072170055</f>
        <v>1.6861849317317577E-2</v>
      </c>
      <c r="U115" s="592">
        <v>160</v>
      </c>
      <c r="V115" s="343">
        <f t="shared" ref="V115" si="692">C115*E115*F115*T115*U115</f>
        <v>1000.5776869614051</v>
      </c>
      <c r="W115" s="598"/>
      <c r="X115" s="598"/>
      <c r="Y115" s="598"/>
      <c r="Z115" s="595"/>
      <c r="AA115" s="66"/>
    </row>
    <row r="116" spans="1:27" ht="15" customHeight="1">
      <c r="A116" s="604"/>
      <c r="B116" s="589"/>
      <c r="C116" s="587"/>
      <c r="D116" s="217" t="s">
        <v>66</v>
      </c>
      <c r="E116" s="344">
        <f>'ｼｰﾄNO.4（表-4）60頁'!W46</f>
        <v>2.85</v>
      </c>
      <c r="F116" s="591"/>
      <c r="G116" s="591"/>
      <c r="H116" s="218">
        <f>12.28697452/G115-0.05907844*G115+0.00051753*G115^2+2.69979197</f>
        <v>2.1701582938483104</v>
      </c>
      <c r="I116" s="593"/>
      <c r="J116" s="345">
        <f t="shared" ref="J116" si="693">C115*E116*F115*H116/1000000*I115</f>
        <v>0.42360730340516178</v>
      </c>
      <c r="K116" s="218">
        <f t="shared" ref="K116" si="694">908.52069/G115-23.49889*G115+0.18396*G115^2+1364.81344</f>
        <v>967.19747801654171</v>
      </c>
      <c r="L116" s="593"/>
      <c r="M116" s="345">
        <f t="shared" ref="M116" si="695">C115*E116*F115*K116/1000000*L115</f>
        <v>54.580218923854325</v>
      </c>
      <c r="N116" s="218">
        <f>9.45345681/G115-0.14325844*G115+0.00124097*G115^2+5.98054622</f>
        <v>3.7906746331889405</v>
      </c>
      <c r="O116" s="593"/>
      <c r="P116" s="345">
        <f t="shared" ref="P116" si="696">C115*E116*F115*N116/1000000*O115</f>
        <v>62.161218631340638</v>
      </c>
      <c r="Q116" s="218">
        <f>0.6037810576/G115-0.0052863845*G115+0.000423961*G115^2+0.3189943526</f>
        <v>0.44330573968938591</v>
      </c>
      <c r="R116" s="593"/>
      <c r="S116" s="345">
        <f t="shared" ref="S116" si="697">C115*E116*F115*Q116/1000000*R115</f>
        <v>4.1725599635692037</v>
      </c>
      <c r="T116" s="218">
        <f t="shared" ref="T116" si="698">0.2877659/G115-0.008903887*G115+0.000069093*G115^2+0.516185391</f>
        <v>0.36271848960200154</v>
      </c>
      <c r="U116" s="593"/>
      <c r="V116" s="345">
        <f t="shared" ref="V116" si="699">C115*E116*F115*T116*U115</f>
        <v>1132.8220744895536</v>
      </c>
      <c r="W116" s="598"/>
      <c r="X116" s="598"/>
      <c r="Y116" s="598"/>
      <c r="Z116" s="595"/>
      <c r="AA116" s="66"/>
    </row>
    <row r="117" spans="1:27" ht="15" customHeight="1">
      <c r="A117" s="604"/>
      <c r="B117" s="588" t="s">
        <v>52</v>
      </c>
      <c r="C117" s="586">
        <f>'ｼｰﾄNO.3（表-3）59頁'!$F$30</f>
        <v>9</v>
      </c>
      <c r="D117" s="216" t="s">
        <v>65</v>
      </c>
      <c r="E117" s="342">
        <f>'ｼｰﾄNO.4（表-4）60頁'!W47</f>
        <v>158.65</v>
      </c>
      <c r="F117" s="590">
        <f>'ｼｰﾄNO.4（表-4）60頁'!O47/1000</f>
        <v>0.84799999999999998</v>
      </c>
      <c r="G117" s="590">
        <f>'ｼｰﾄNO.4（表-4）60頁'!O47/1000/('ｼｰﾄNO.4（表-4）60頁'!T47/3600)</f>
        <v>27.752727272727274</v>
      </c>
      <c r="H117" s="219">
        <f>-2.71095565/G117-0.09453616*G117+0.00089493*G117^2+3.15403637</f>
        <v>1.1220051084994243</v>
      </c>
      <c r="I117" s="592">
        <v>10000</v>
      </c>
      <c r="J117" s="343">
        <f t="shared" ref="J117" si="700">C117*E117*F117*H117/1000000*I117</f>
        <v>13.585426350569257</v>
      </c>
      <c r="K117" s="219">
        <f t="shared" ref="K117" si="701">1501.20185/G117-2.40935*G117+0.02115*G117^2+174.47635</f>
        <v>177.99238771086846</v>
      </c>
      <c r="L117" s="592">
        <v>2891</v>
      </c>
      <c r="M117" s="343">
        <f t="shared" ref="M117" si="702">C117*E117*F117*K117/1000000*L117</f>
        <v>623.0572570462441</v>
      </c>
      <c r="N117" s="219">
        <f>-0.25063622/G117-0.00657231*G117+0.00005332*G117^2+0.29056757</f>
        <v>0.14020479834032479</v>
      </c>
      <c r="O117" s="592">
        <v>840100</v>
      </c>
      <c r="P117" s="343">
        <f t="shared" ref="P117" si="703">C117*E117*F117*N117/1000000*O117</f>
        <v>142.6173294602321</v>
      </c>
      <c r="Q117" s="219">
        <f>0.093055673/G117-0.0002682273*G117+0.00000218*G117^2+0.0173678037</f>
        <v>1.4955858884601478E-2</v>
      </c>
      <c r="R117" s="592">
        <v>482200</v>
      </c>
      <c r="S117" s="343">
        <f t="shared" ref="S117" si="704">C117*E117*F117*Q117/1000000*R117</f>
        <v>8.7320658654652625</v>
      </c>
      <c r="T117" s="219">
        <f t="shared" ref="T117" si="705">0.630901162/G117-0.001006579*G117+0.000008915*G117^2+0.0072170055</f>
        <v>8.8810925083286883E-3</v>
      </c>
      <c r="U117" s="592">
        <v>160</v>
      </c>
      <c r="V117" s="343">
        <f t="shared" ref="V117" si="706">C117*E117*F117*T117*U117</f>
        <v>1720.5401618301628</v>
      </c>
      <c r="W117" s="598"/>
      <c r="X117" s="598"/>
      <c r="Y117" s="598"/>
      <c r="Z117" s="595"/>
      <c r="AA117" s="66"/>
    </row>
    <row r="118" spans="1:27" ht="15" customHeight="1">
      <c r="A118" s="604"/>
      <c r="B118" s="589"/>
      <c r="C118" s="587"/>
      <c r="D118" s="217" t="s">
        <v>66</v>
      </c>
      <c r="E118" s="344">
        <f>'ｼｰﾄNO.4（表-4）60頁'!W48</f>
        <v>8.35</v>
      </c>
      <c r="F118" s="591"/>
      <c r="G118" s="591"/>
      <c r="H118" s="218">
        <f>12.28697452/G117-0.05907844*G117+0.00051753*G117^2+2.69979197</f>
        <v>1.9015432666737011</v>
      </c>
      <c r="I118" s="593"/>
      <c r="J118" s="345">
        <f t="shared" ref="J118" si="707">C117*E118*F117*H118/1000000*I117</f>
        <v>1.2118002806396826</v>
      </c>
      <c r="K118" s="218">
        <f t="shared" ref="K118" si="708">908.52069/G117-23.49889*G117+0.18396*G117^2+1364.81344</f>
        <v>887.07996534181075</v>
      </c>
      <c r="L118" s="593"/>
      <c r="M118" s="345">
        <f t="shared" ref="M118" si="709">C117*E118*F117*K118/1000000*L117</f>
        <v>163.43147476395285</v>
      </c>
      <c r="N118" s="218">
        <f>9.45345681/G117-0.14325844*G117+0.00124097*G117^2+5.98054622</f>
        <v>3.3011777457107159</v>
      </c>
      <c r="O118" s="593"/>
      <c r="P118" s="345">
        <f t="shared" ref="P118" si="710">C117*E118*F117*N118/1000000*O117</f>
        <v>176.73588160806659</v>
      </c>
      <c r="Q118" s="218">
        <f>0.6037810576/G117-0.0052863845*G117+0.000423961*G117^2+0.3189943526</f>
        <v>0.52057914610079359</v>
      </c>
      <c r="R118" s="593"/>
      <c r="S118" s="345">
        <f t="shared" ref="S118" si="711">C117*E118*F117*Q118/1000000*R117</f>
        <v>15.997009765500021</v>
      </c>
      <c r="T118" s="218">
        <f t="shared" ref="T118" si="712">0.2877659/G117-0.008903887*G117+0.000069093*G117^2+0.516185391</f>
        <v>0.33266355369950334</v>
      </c>
      <c r="U118" s="593"/>
      <c r="V118" s="345">
        <f t="shared" ref="V118" si="713">C117*E118*F117*T118*U117</f>
        <v>3391.9546910910376</v>
      </c>
      <c r="W118" s="598"/>
      <c r="X118" s="598"/>
      <c r="Y118" s="598"/>
      <c r="Z118" s="595"/>
      <c r="AA118" s="66"/>
    </row>
    <row r="119" spans="1:27" ht="15" customHeight="1">
      <c r="A119" s="604"/>
      <c r="B119" s="588" t="s">
        <v>53</v>
      </c>
      <c r="C119" s="586">
        <f>'ｼｰﾄNO.3（表-3）59頁'!$F$30</f>
        <v>9</v>
      </c>
      <c r="D119" s="216" t="s">
        <v>65</v>
      </c>
      <c r="E119" s="342">
        <f>'ｼｰﾄNO.4（表-4）60頁'!W49</f>
        <v>738.15</v>
      </c>
      <c r="F119" s="590">
        <f>'ｼｰﾄNO.4（表-4）60頁'!O49/1000</f>
        <v>0.61699999999999999</v>
      </c>
      <c r="G119" s="590">
        <f>'ｼｰﾄNO.4（表-4）60頁'!O49/1000/('ｼｰﾄNO.4（表-4）60頁'!T49/3600)</f>
        <v>27.087804878048779</v>
      </c>
      <c r="H119" s="219">
        <f>-2.71095565/G119-0.09453616*G119+0.00089493*G119^2+3.15403637</f>
        <v>1.1498331610692509</v>
      </c>
      <c r="I119" s="592">
        <v>10000</v>
      </c>
      <c r="J119" s="343">
        <f t="shared" ref="J119" si="714">C119*E119*F119*H119/1000000*I119</f>
        <v>47.131051285736646</v>
      </c>
      <c r="K119" s="219">
        <f t="shared" ref="K119" si="715">1501.20185/G119-2.40935*G119+0.02115*G119^2+174.47635</f>
        <v>180.15098372041632</v>
      </c>
      <c r="L119" s="592">
        <v>2891</v>
      </c>
      <c r="M119" s="343">
        <f t="shared" ref="M119" si="716">C119*E119*F119*K119/1000000*L119</f>
        <v>2134.7991793275273</v>
      </c>
      <c r="N119" s="219">
        <f>-0.25063622/G119-0.00657231*G119+0.00005332*G119^2+0.29056757</f>
        <v>0.14240889225716619</v>
      </c>
      <c r="O119" s="592">
        <v>840100</v>
      </c>
      <c r="P119" s="343">
        <f t="shared" ref="P119" si="717">C119*E119*F119*N119/1000000*O119</f>
        <v>490.3886280885846</v>
      </c>
      <c r="Q119" s="219">
        <f>0.093055673/G119-0.0002682273*G119+0.00000218*G119^2+0.0173678037</f>
        <v>1.5137022719626959E-2</v>
      </c>
      <c r="R119" s="592">
        <v>482200</v>
      </c>
      <c r="S119" s="343">
        <f t="shared" ref="S119" si="718">C119*E119*F119*Q119/1000000*R119</f>
        <v>29.918510369013028</v>
      </c>
      <c r="T119" s="219">
        <f t="shared" ref="T119" si="719">0.630901162/G119-0.001006579*G119+0.000008915*G119^2+0.0072170055</f>
        <v>9.7833305544376171E-3</v>
      </c>
      <c r="U119" s="592">
        <v>160</v>
      </c>
      <c r="V119" s="343">
        <f t="shared" ref="V119" si="720">C119*E119*F119*T119*U119</f>
        <v>6416.2164699126197</v>
      </c>
      <c r="W119" s="598"/>
      <c r="X119" s="598"/>
      <c r="Y119" s="598"/>
      <c r="Z119" s="595"/>
      <c r="AA119" s="66"/>
    </row>
    <row r="120" spans="1:27" ht="15" customHeight="1">
      <c r="A120" s="604"/>
      <c r="B120" s="589"/>
      <c r="C120" s="587"/>
      <c r="D120" s="217" t="s">
        <v>66</v>
      </c>
      <c r="E120" s="344">
        <f>'ｼｰﾄNO.4（表-4）60頁'!W50</f>
        <v>38.85</v>
      </c>
      <c r="F120" s="591"/>
      <c r="G120" s="591"/>
      <c r="H120" s="218">
        <f>12.28697452/G119-0.05907844*G119+0.00051753*G119^2+2.69979197</f>
        <v>1.9328219392155921</v>
      </c>
      <c r="I120" s="593"/>
      <c r="J120" s="345">
        <f t="shared" ref="J120" si="721">C119*E120*F119*H120/1000000*I119</f>
        <v>4.1697550487583355</v>
      </c>
      <c r="K120" s="218">
        <f t="shared" ref="K120" si="722">908.52069/G119-23.49889*G119+0.18396*G119^2+1364.81344</f>
        <v>896.80043250303515</v>
      </c>
      <c r="L120" s="593"/>
      <c r="M120" s="345">
        <f t="shared" ref="M120" si="723">C119*E120*F119*K120/1000000*L119</f>
        <v>559.3228955982205</v>
      </c>
      <c r="N120" s="218">
        <f>9.45345681/G119-0.14325844*G119+0.00124097*G119^2+5.98054622</f>
        <v>3.3595433546140332</v>
      </c>
      <c r="O120" s="593"/>
      <c r="P120" s="345">
        <f t="shared" ref="P120" si="724">C119*E120*F119*N120/1000000*O119</f>
        <v>608.87750778424038</v>
      </c>
      <c r="Q120" s="218">
        <f>0.6037810576/G119-0.0052863845*G119+0.000423961*G119^2+0.3189943526</f>
        <v>0.50916860825670229</v>
      </c>
      <c r="R120" s="593"/>
      <c r="S120" s="345">
        <f t="shared" ref="S120" si="725">C119*E120*F119*Q120/1000000*R119</f>
        <v>52.967261889381859</v>
      </c>
      <c r="T120" s="218">
        <f t="shared" ref="T120" si="726">0.2877659/G119-0.008903887*G119+0.000069093*G119^2+0.516185391</f>
        <v>0.33631901740188841</v>
      </c>
      <c r="U120" s="593"/>
      <c r="V120" s="345">
        <f t="shared" ref="V120" si="727">C119*E120*F119*T120*U119</f>
        <v>11608.874194580781</v>
      </c>
      <c r="W120" s="598"/>
      <c r="X120" s="598"/>
      <c r="Y120" s="598"/>
      <c r="Z120" s="595"/>
      <c r="AA120" s="66"/>
    </row>
    <row r="121" spans="1:27" ht="15" customHeight="1">
      <c r="A121" s="604"/>
      <c r="B121" s="588" t="s">
        <v>54</v>
      </c>
      <c r="C121" s="586">
        <f>'ｼｰﾄNO.3（表-3）59頁'!$F$30</f>
        <v>9</v>
      </c>
      <c r="D121" s="216" t="s">
        <v>65</v>
      </c>
      <c r="E121" s="342">
        <f>'ｼｰﾄNO.4（表-4）60頁'!W51</f>
        <v>133</v>
      </c>
      <c r="F121" s="590">
        <f>'ｼｰﾄNO.4（表-4）60頁'!O51/1000</f>
        <v>0.82399999999999995</v>
      </c>
      <c r="G121" s="590">
        <f>'ｼｰﾄNO.4（表-4）60頁'!O51/1000/('ｼｰﾄNO.4（表-4）60頁'!T51/3600)</f>
        <v>28.523076923076921</v>
      </c>
      <c r="H121" s="219">
        <f>-2.71095565/G121-0.09453616*G121+0.00089493*G121^2+3.15403637</f>
        <v>1.090614460615126</v>
      </c>
      <c r="I121" s="592">
        <v>10000</v>
      </c>
      <c r="J121" s="343">
        <f t="shared" ref="J121" si="728">C121*E121*F121*H121/1000000*I121</f>
        <v>10.757035797095959</v>
      </c>
      <c r="K121" s="219">
        <f t="shared" ref="K121" si="729">1501.20185/G121-2.40935*G121+0.02115*G121^2+174.47635</f>
        <v>175.59232658424133</v>
      </c>
      <c r="L121" s="592">
        <v>2891</v>
      </c>
      <c r="M121" s="343">
        <f t="shared" ref="M121" si="730">C121*E121*F121*K121/1000000*L121</f>
        <v>500.69699740136997</v>
      </c>
      <c r="N121" s="219">
        <f>-0.25063622/G121-0.00657231*G121+0.00005332*G121^2+0.29056757</f>
        <v>0.1376972627690112</v>
      </c>
      <c r="O121" s="592">
        <v>840100</v>
      </c>
      <c r="P121" s="343">
        <f t="shared" ref="P121" si="731">C121*E121*F121*N121/1000000*O121</f>
        <v>114.0979007322232</v>
      </c>
      <c r="Q121" s="219">
        <f>0.093055673/G121-0.0002682273*G121+0.00000218*G121^2+0.0173678037</f>
        <v>1.4753179146136358E-2</v>
      </c>
      <c r="R121" s="592">
        <v>482200</v>
      </c>
      <c r="S121" s="343">
        <f t="shared" ref="S121" si="732">C121*E121*F121*Q121/1000000*R121</f>
        <v>7.0167206089060548</v>
      </c>
      <c r="T121" s="219">
        <f t="shared" ref="T121" si="733">0.630901162/G121-0.001006579*G121+0.000008915*G121^2+0.0072170055</f>
        <v>7.8781881831032213E-3</v>
      </c>
      <c r="U121" s="592">
        <v>160</v>
      </c>
      <c r="V121" s="343">
        <f t="shared" ref="V121" si="734">C121*E121*F121*T121*U121</f>
        <v>1243.2764150822136</v>
      </c>
      <c r="W121" s="598"/>
      <c r="X121" s="598"/>
      <c r="Y121" s="598"/>
      <c r="Z121" s="595"/>
      <c r="AA121" s="66"/>
    </row>
    <row r="122" spans="1:27" ht="15" customHeight="1">
      <c r="A122" s="604"/>
      <c r="B122" s="589"/>
      <c r="C122" s="587"/>
      <c r="D122" s="217" t="s">
        <v>66</v>
      </c>
      <c r="E122" s="344">
        <f>'ｼｰﾄNO.4（表-4）60頁'!W52</f>
        <v>7</v>
      </c>
      <c r="F122" s="591"/>
      <c r="G122" s="591"/>
      <c r="H122" s="218">
        <f>12.28697452/G121-0.05907844*G121+0.00051753*G121^2+2.69979197</f>
        <v>1.8665109593380467</v>
      </c>
      <c r="I122" s="593"/>
      <c r="J122" s="345">
        <f t="shared" ref="J122" si="735">C121*E122*F121*H122/1000000*I121</f>
        <v>0.96894316921156676</v>
      </c>
      <c r="K122" s="218">
        <f t="shared" ref="K122" si="736">908.52069/G121-23.49889*G121+0.18396*G121^2+1364.81344</f>
        <v>876.06850679459603</v>
      </c>
      <c r="L122" s="593"/>
      <c r="M122" s="345">
        <f t="shared" ref="M122" si="737">C121*E122*F121*K122/1000000*L121</f>
        <v>131.47825192676862</v>
      </c>
      <c r="N122" s="218">
        <f>9.45345681/G121-0.14325844*G121+0.00124097*G121^2+5.98054622</f>
        <v>3.2354174852760047</v>
      </c>
      <c r="O122" s="593"/>
      <c r="P122" s="345">
        <f t="shared" ref="P122" si="738">C121*E122*F121*N122/1000000*O121</f>
        <v>141.10066939559385</v>
      </c>
      <c r="Q122" s="218">
        <f>0.6037810576/G121-0.0052863845*G121+0.000423961*G121^2+0.3189943526</f>
        <v>0.53429878072260373</v>
      </c>
      <c r="R122" s="593"/>
      <c r="S122" s="345">
        <f t="shared" ref="S122" si="739">C121*E122*F121*Q122/1000000*R121</f>
        <v>13.374549126609184</v>
      </c>
      <c r="T122" s="218">
        <f t="shared" ref="T122" si="740">0.2877659/G121-0.008903887*G121+0.000069093*G121^2+0.516185391</f>
        <v>0.32851972708814747</v>
      </c>
      <c r="U122" s="593"/>
      <c r="V122" s="345">
        <f t="shared" ref="V122" si="741">C121*E122*F121*T122*U121</f>
        <v>2728.6585716159857</v>
      </c>
      <c r="W122" s="598"/>
      <c r="X122" s="598"/>
      <c r="Y122" s="598"/>
      <c r="Z122" s="595"/>
      <c r="AA122" s="66"/>
    </row>
    <row r="123" spans="1:27" ht="15" customHeight="1">
      <c r="A123" s="604"/>
      <c r="B123" s="588" t="s">
        <v>55</v>
      </c>
      <c r="C123" s="586">
        <f>'ｼｰﾄNO.3（表-3）59頁'!$F$30</f>
        <v>9</v>
      </c>
      <c r="D123" s="216" t="s">
        <v>65</v>
      </c>
      <c r="E123" s="342">
        <f>'ｼｰﾄNO.4（表-4）60頁'!W53</f>
        <v>47.5</v>
      </c>
      <c r="F123" s="590">
        <f>'ｼｰﾄNO.4（表-4）60頁'!O53/1000</f>
        <v>0.91</v>
      </c>
      <c r="G123" s="590">
        <f>'ｼｰﾄNO.4（表-4）60頁'!O53/1000/('ｼｰﾄNO.4（表-4）60頁'!T53/3600)</f>
        <v>22.90909090909091</v>
      </c>
      <c r="H123" s="219">
        <f>-2.71095565/G123-0.09453616*G123+0.00089493*G123^2+3.15403637</f>
        <v>1.3396464522592815</v>
      </c>
      <c r="I123" s="592">
        <v>10000</v>
      </c>
      <c r="J123" s="343">
        <f t="shared" ref="J123" si="742">C123*E123*F123*H123/1000000*I123</f>
        <v>5.21155961090167</v>
      </c>
      <c r="K123" s="219">
        <f t="shared" ref="K123" si="743">1501.20185/G123-2.40935*G123+0.02115*G123^2+174.47635</f>
        <v>195.90906333956445</v>
      </c>
      <c r="L123" s="592">
        <v>2891</v>
      </c>
      <c r="M123" s="343">
        <f t="shared" ref="M123" si="744">C123*E123*F123*K123/1000000*L123</f>
        <v>220.33329605016377</v>
      </c>
      <c r="N123" s="219">
        <f>-0.25063622/G123-0.00657231*G123+0.00005332*G123^2+0.29056757</f>
        <v>0.15704519892234028</v>
      </c>
      <c r="O123" s="592">
        <v>840100</v>
      </c>
      <c r="P123" s="343">
        <f t="shared" ref="P123" si="745">C123*E123*F123*N123/1000000*O123</f>
        <v>51.325496599892354</v>
      </c>
      <c r="Q123" s="219">
        <f>0.093055673/G123-0.0002682273*G123+0.00000218*G123^2+0.0173678037</f>
        <v>1.6429035733051291E-2</v>
      </c>
      <c r="R123" s="592">
        <v>482200</v>
      </c>
      <c r="S123" s="343">
        <f t="shared" ref="S123" si="746">C123*E123*F123*Q123/1000000*R123</f>
        <v>3.0818875728814445</v>
      </c>
      <c r="T123" s="219">
        <f t="shared" ref="T123" si="747">0.630901162/G123-0.001006579*G123+0.000008915*G123^2+0.0072170055</f>
        <v>1.6375359886921154E-2</v>
      </c>
      <c r="U123" s="592">
        <v>160</v>
      </c>
      <c r="V123" s="343">
        <f t="shared" ref="V123" si="748">C123*E123*F123*T123*U123</f>
        <v>1019.2679008015203</v>
      </c>
      <c r="W123" s="598"/>
      <c r="X123" s="598"/>
      <c r="Y123" s="598"/>
      <c r="Z123" s="595"/>
      <c r="AA123" s="66"/>
    </row>
    <row r="124" spans="1:27" ht="15" customHeight="1">
      <c r="A124" s="604"/>
      <c r="B124" s="589"/>
      <c r="C124" s="587"/>
      <c r="D124" s="217" t="s">
        <v>66</v>
      </c>
      <c r="E124" s="344">
        <f>'ｼｰﾄNO.4（表-4）60頁'!W54</f>
        <v>2.5</v>
      </c>
      <c r="F124" s="591"/>
      <c r="G124" s="591"/>
      <c r="H124" s="218">
        <f>12.28697452/G123-0.05907844*G123+0.00051753*G123^2+2.69979197</f>
        <v>2.154308237381608</v>
      </c>
      <c r="I124" s="593"/>
      <c r="J124" s="345">
        <f t="shared" ref="J124" si="749">C123*E124*F123*H124/1000000*I123</f>
        <v>0.4410946116038843</v>
      </c>
      <c r="K124" s="218">
        <f t="shared" ref="K124" si="750">908.52069/G123-23.49889*G123+0.18396*G123^2+1364.81344</f>
        <v>962.67995495179059</v>
      </c>
      <c r="L124" s="593"/>
      <c r="M124" s="345">
        <f t="shared" ref="M124" si="751">C123*E124*F123*K124/1000000*L123</f>
        <v>56.9841311764512</v>
      </c>
      <c r="N124" s="218">
        <f>9.45345681/G123-0.14325844*G123+0.00124097*G123^2+5.98054622</f>
        <v>3.7625703620867768</v>
      </c>
      <c r="O124" s="593"/>
      <c r="P124" s="345">
        <f t="shared" ref="P124" si="752">C123*E124*F123*N124/1000000*O123</f>
        <v>64.720151520346846</v>
      </c>
      <c r="Q124" s="218">
        <f>0.6037810576/G123-0.0052863845*G123+0.000423961*G123^2+0.3189943526</f>
        <v>0.44674955685638201</v>
      </c>
      <c r="R124" s="593"/>
      <c r="S124" s="345">
        <f t="shared" ref="S124" si="753">C123*E124*F123*Q124/1000000*R123</f>
        <v>4.4107784785731186</v>
      </c>
      <c r="T124" s="218">
        <f t="shared" ref="T124" si="754">0.2877659/G123-0.008903887*G123+0.000069093*G123^2+0.516185391</f>
        <v>0.3610284778462548</v>
      </c>
      <c r="U124" s="593"/>
      <c r="V124" s="345">
        <f t="shared" ref="V124" si="755">C123*E124*F123*T124*U123</f>
        <v>1182.729293424331</v>
      </c>
      <c r="W124" s="598"/>
      <c r="X124" s="598"/>
      <c r="Y124" s="598"/>
      <c r="Z124" s="595"/>
      <c r="AA124" s="66"/>
    </row>
    <row r="125" spans="1:27" ht="15" customHeight="1">
      <c r="A125" s="604"/>
      <c r="B125" s="588" t="s">
        <v>56</v>
      </c>
      <c r="C125" s="586">
        <f>'ｼｰﾄNO.3（表-3）59頁'!$F$30</f>
        <v>9</v>
      </c>
      <c r="D125" s="216" t="s">
        <v>65</v>
      </c>
      <c r="E125" s="342">
        <f>'ｼｰﾄNO.4（表-4）60頁'!W55</f>
        <v>743.84999999999991</v>
      </c>
      <c r="F125" s="590">
        <f>'ｼｰﾄNO.4（表-4）60頁'!O55/1000</f>
        <v>0.61699999999999999</v>
      </c>
      <c r="G125" s="590">
        <f>'ｼｰﾄNO.4（表-4）60頁'!O55/1000/('ｼｰﾄNO.4（表-4）60頁'!T55/3600)</f>
        <v>27.087804878048779</v>
      </c>
      <c r="H125" s="219">
        <f>-2.71095565/G125-0.09453616*G125+0.00089493*G125^2+3.15403637</f>
        <v>1.1498331610692509</v>
      </c>
      <c r="I125" s="592">
        <v>10000</v>
      </c>
      <c r="J125" s="343">
        <f t="shared" ref="J125" si="756">C125*E125*F125*H125/1000000*I125</f>
        <v>47.494997627711449</v>
      </c>
      <c r="K125" s="219">
        <f t="shared" ref="K125" si="757">1501.20185/G125-2.40935*G125+0.02115*G125^2+174.47635</f>
        <v>180.15098372041632</v>
      </c>
      <c r="L125" s="592">
        <v>2891</v>
      </c>
      <c r="M125" s="343">
        <f t="shared" ref="M125" si="758">C125*E125*F125*K125/1000000*L125</f>
        <v>2151.2841150752306</v>
      </c>
      <c r="N125" s="219">
        <f>-0.25063622/G125-0.00657231*G125+0.00005332*G125^2+0.29056757</f>
        <v>0.14240889225716619</v>
      </c>
      <c r="O125" s="592">
        <v>840100</v>
      </c>
      <c r="P125" s="343">
        <f t="shared" ref="P125" si="759">C125*E125*F125*N125/1000000*O125</f>
        <v>494.17541286146945</v>
      </c>
      <c r="Q125" s="219">
        <f>0.093055673/G125-0.0002682273*G125+0.00000218*G125^2+0.0173678037</f>
        <v>1.5137022719626959E-2</v>
      </c>
      <c r="R125" s="592">
        <v>840100</v>
      </c>
      <c r="S125" s="343">
        <f t="shared" ref="S125" si="760">C125*E125*F125*Q125/1000000*R125</f>
        <v>52.527228696202954</v>
      </c>
      <c r="T125" s="219">
        <f t="shared" ref="T125" si="761">0.630901162/G125-0.001006579*G125+0.000008915*G125^2+0.0072170055</f>
        <v>9.7833305544376171E-3</v>
      </c>
      <c r="U125" s="592">
        <v>160</v>
      </c>
      <c r="V125" s="343">
        <f t="shared" ref="V125" si="762">C125*E125*F125*T125*U125</f>
        <v>6465.7625430393591</v>
      </c>
      <c r="W125" s="598"/>
      <c r="X125" s="598"/>
      <c r="Y125" s="598"/>
      <c r="Z125" s="595"/>
      <c r="AA125" s="66"/>
    </row>
    <row r="126" spans="1:27" ht="15" customHeight="1">
      <c r="A126" s="605"/>
      <c r="B126" s="589"/>
      <c r="C126" s="587"/>
      <c r="D126" s="217" t="s">
        <v>66</v>
      </c>
      <c r="E126" s="344">
        <f>'ｼｰﾄNO.4（表-4）60頁'!W56</f>
        <v>39.150000000000006</v>
      </c>
      <c r="F126" s="591"/>
      <c r="G126" s="591"/>
      <c r="H126" s="218">
        <f>12.28697452/G125-0.05907844*G125+0.00051753*G125^2+2.69979197</f>
        <v>1.9328219392155921</v>
      </c>
      <c r="I126" s="593"/>
      <c r="J126" s="345">
        <f t="shared" ref="J126" si="763">C125*E126*F125*H126/1000000*I125</f>
        <v>4.2019539294437278</v>
      </c>
      <c r="K126" s="218">
        <f t="shared" ref="K126" si="764">908.52069/G125-23.49889*G125+0.18396*G125^2+1364.81344</f>
        <v>896.80043250303515</v>
      </c>
      <c r="L126" s="593"/>
      <c r="M126" s="345">
        <f t="shared" ref="M126" si="765">C125*E126*F125*K126/1000000*L125</f>
        <v>563.64199131712564</v>
      </c>
      <c r="N126" s="218">
        <f>9.45345681/G125-0.14325844*G125+0.00124097*G125^2+5.98054622</f>
        <v>3.3595433546140332</v>
      </c>
      <c r="O126" s="593"/>
      <c r="P126" s="345">
        <f t="shared" ref="P126" si="766">C125*E126*F125*N126/1000000*O125</f>
        <v>613.57926460110696</v>
      </c>
      <c r="Q126" s="218">
        <f>0.6037810576/G125-0.0052863845*G125+0.000423961*G125^2+0.3189943526</f>
        <v>0.50916860825670229</v>
      </c>
      <c r="R126" s="593"/>
      <c r="S126" s="345">
        <f t="shared" ref="S126" si="767">C125*E126*F125*Q126/1000000*R125</f>
        <v>92.993382503322067</v>
      </c>
      <c r="T126" s="218">
        <f t="shared" ref="T126" si="768">0.2877659/G125-0.008903887*G125+0.000069093*G125^2+0.516185391</f>
        <v>0.33631901740188841</v>
      </c>
      <c r="U126" s="593"/>
      <c r="V126" s="345">
        <f t="shared" ref="V126" si="769">C125*E126*F125*T126*U125</f>
        <v>11698.51801075515</v>
      </c>
      <c r="W126" s="599"/>
      <c r="X126" s="599"/>
      <c r="Y126" s="599"/>
      <c r="Z126" s="596"/>
      <c r="AA126" s="66"/>
    </row>
  </sheetData>
  <mergeCells count="569">
    <mergeCell ref="A3:A5"/>
    <mergeCell ref="B3:B5"/>
    <mergeCell ref="W7:W30"/>
    <mergeCell ref="W31:W54"/>
    <mergeCell ref="W55:W78"/>
    <mergeCell ref="W79:W102"/>
    <mergeCell ref="W103:W126"/>
    <mergeCell ref="O123:O124"/>
    <mergeCell ref="R123:R124"/>
    <mergeCell ref="U123:U124"/>
    <mergeCell ref="U119:U120"/>
    <mergeCell ref="R117:R118"/>
    <mergeCell ref="U117:U118"/>
    <mergeCell ref="U115:U116"/>
    <mergeCell ref="U111:U112"/>
    <mergeCell ref="R109:R110"/>
    <mergeCell ref="U109:U110"/>
    <mergeCell ref="U107:U108"/>
    <mergeCell ref="O111:O112"/>
    <mergeCell ref="R111:R112"/>
    <mergeCell ref="O107:O108"/>
    <mergeCell ref="R107:R108"/>
    <mergeCell ref="U103:U104"/>
    <mergeCell ref="U105:U106"/>
    <mergeCell ref="U113:U114"/>
    <mergeCell ref="O99:O100"/>
    <mergeCell ref="L121:L122"/>
    <mergeCell ref="O121:O122"/>
    <mergeCell ref="R121:R122"/>
    <mergeCell ref="U121:U122"/>
    <mergeCell ref="B125:B126"/>
    <mergeCell ref="C125:C126"/>
    <mergeCell ref="F125:F126"/>
    <mergeCell ref="G125:G126"/>
    <mergeCell ref="I125:I126"/>
    <mergeCell ref="L125:L126"/>
    <mergeCell ref="O125:O126"/>
    <mergeCell ref="B123:B124"/>
    <mergeCell ref="C123:C124"/>
    <mergeCell ref="F123:F124"/>
    <mergeCell ref="G123:G124"/>
    <mergeCell ref="I123:I124"/>
    <mergeCell ref="L123:L124"/>
    <mergeCell ref="R125:R126"/>
    <mergeCell ref="U125:U126"/>
    <mergeCell ref="L119:L120"/>
    <mergeCell ref="O119:O120"/>
    <mergeCell ref="R119:R120"/>
    <mergeCell ref="O115:O116"/>
    <mergeCell ref="R115:R116"/>
    <mergeCell ref="B117:B118"/>
    <mergeCell ref="C117:C118"/>
    <mergeCell ref="F117:F118"/>
    <mergeCell ref="G117:G118"/>
    <mergeCell ref="I117:I118"/>
    <mergeCell ref="L117:L118"/>
    <mergeCell ref="O117:O118"/>
    <mergeCell ref="B115:B116"/>
    <mergeCell ref="C115:C116"/>
    <mergeCell ref="F115:F116"/>
    <mergeCell ref="G115:G116"/>
    <mergeCell ref="I115:I116"/>
    <mergeCell ref="L115:L116"/>
    <mergeCell ref="L107:L108"/>
    <mergeCell ref="B113:B114"/>
    <mergeCell ref="C113:C114"/>
    <mergeCell ref="F113:F114"/>
    <mergeCell ref="G113:G114"/>
    <mergeCell ref="I113:I114"/>
    <mergeCell ref="L113:L114"/>
    <mergeCell ref="O113:O114"/>
    <mergeCell ref="R113:R114"/>
    <mergeCell ref="L111:L112"/>
    <mergeCell ref="B109:B110"/>
    <mergeCell ref="C109:C110"/>
    <mergeCell ref="F109:F110"/>
    <mergeCell ref="G109:G110"/>
    <mergeCell ref="I109:I110"/>
    <mergeCell ref="L109:L110"/>
    <mergeCell ref="O109:O110"/>
    <mergeCell ref="B107:B108"/>
    <mergeCell ref="C107:C108"/>
    <mergeCell ref="F107:F108"/>
    <mergeCell ref="G107:G108"/>
    <mergeCell ref="I107:I108"/>
    <mergeCell ref="L103:L104"/>
    <mergeCell ref="O103:O104"/>
    <mergeCell ref="R103:R104"/>
    <mergeCell ref="B105:B106"/>
    <mergeCell ref="C105:C106"/>
    <mergeCell ref="F105:F106"/>
    <mergeCell ref="G105:G106"/>
    <mergeCell ref="I105:I106"/>
    <mergeCell ref="L105:L106"/>
    <mergeCell ref="O105:O106"/>
    <mergeCell ref="R105:R106"/>
    <mergeCell ref="A103:A126"/>
    <mergeCell ref="B103:B104"/>
    <mergeCell ref="C103:C104"/>
    <mergeCell ref="F103:F104"/>
    <mergeCell ref="G103:G104"/>
    <mergeCell ref="I103:I104"/>
    <mergeCell ref="B111:B112"/>
    <mergeCell ref="C111:C112"/>
    <mergeCell ref="F111:F112"/>
    <mergeCell ref="G111:G112"/>
    <mergeCell ref="I111:I112"/>
    <mergeCell ref="B121:B122"/>
    <mergeCell ref="C121:C122"/>
    <mergeCell ref="F121:F122"/>
    <mergeCell ref="G121:G122"/>
    <mergeCell ref="I121:I122"/>
    <mergeCell ref="B119:B120"/>
    <mergeCell ref="C119:C120"/>
    <mergeCell ref="F119:F120"/>
    <mergeCell ref="G119:G120"/>
    <mergeCell ref="I119:I120"/>
    <mergeCell ref="R99:R100"/>
    <mergeCell ref="U99:U100"/>
    <mergeCell ref="B101:B102"/>
    <mergeCell ref="C101:C102"/>
    <mergeCell ref="F101:F102"/>
    <mergeCell ref="G101:G102"/>
    <mergeCell ref="I101:I102"/>
    <mergeCell ref="L101:L102"/>
    <mergeCell ref="O101:O102"/>
    <mergeCell ref="B99:B100"/>
    <mergeCell ref="C99:C100"/>
    <mergeCell ref="F99:F100"/>
    <mergeCell ref="G99:G100"/>
    <mergeCell ref="I99:I100"/>
    <mergeCell ref="L99:L100"/>
    <mergeCell ref="R101:R102"/>
    <mergeCell ref="U101:U102"/>
    <mergeCell ref="L95:L96"/>
    <mergeCell ref="O95:O96"/>
    <mergeCell ref="R95:R96"/>
    <mergeCell ref="U95:U96"/>
    <mergeCell ref="B97:B98"/>
    <mergeCell ref="C97:C98"/>
    <mergeCell ref="F97:F98"/>
    <mergeCell ref="G97:G98"/>
    <mergeCell ref="I97:I98"/>
    <mergeCell ref="L97:L98"/>
    <mergeCell ref="O97:O98"/>
    <mergeCell ref="R97:R98"/>
    <mergeCell ref="U97:U98"/>
    <mergeCell ref="O91:O92"/>
    <mergeCell ref="R91:R92"/>
    <mergeCell ref="U91:U92"/>
    <mergeCell ref="B93:B94"/>
    <mergeCell ref="C93:C94"/>
    <mergeCell ref="F93:F94"/>
    <mergeCell ref="G93:G94"/>
    <mergeCell ref="I93:I94"/>
    <mergeCell ref="L93:L94"/>
    <mergeCell ref="O93:O94"/>
    <mergeCell ref="B91:B92"/>
    <mergeCell ref="C91:C92"/>
    <mergeCell ref="F91:F92"/>
    <mergeCell ref="G91:G92"/>
    <mergeCell ref="I91:I92"/>
    <mergeCell ref="L91:L92"/>
    <mergeCell ref="R93:R94"/>
    <mergeCell ref="U93:U94"/>
    <mergeCell ref="L87:L88"/>
    <mergeCell ref="O87:O88"/>
    <mergeCell ref="R87:R88"/>
    <mergeCell ref="U87:U88"/>
    <mergeCell ref="B89:B90"/>
    <mergeCell ref="C89:C90"/>
    <mergeCell ref="F89:F90"/>
    <mergeCell ref="G89:G90"/>
    <mergeCell ref="I89:I90"/>
    <mergeCell ref="L89:L90"/>
    <mergeCell ref="O89:O90"/>
    <mergeCell ref="R89:R90"/>
    <mergeCell ref="U89:U90"/>
    <mergeCell ref="L83:L84"/>
    <mergeCell ref="O83:O84"/>
    <mergeCell ref="R83:R84"/>
    <mergeCell ref="U83:U84"/>
    <mergeCell ref="B85:B86"/>
    <mergeCell ref="C85:C86"/>
    <mergeCell ref="F85:F86"/>
    <mergeCell ref="G85:G86"/>
    <mergeCell ref="I85:I86"/>
    <mergeCell ref="L85:L86"/>
    <mergeCell ref="O85:O86"/>
    <mergeCell ref="R85:R86"/>
    <mergeCell ref="U85:U86"/>
    <mergeCell ref="L79:L80"/>
    <mergeCell ref="O79:O80"/>
    <mergeCell ref="R79:R80"/>
    <mergeCell ref="U79:U80"/>
    <mergeCell ref="B81:B82"/>
    <mergeCell ref="C81:C82"/>
    <mergeCell ref="F81:F82"/>
    <mergeCell ref="G81:G82"/>
    <mergeCell ref="I81:I82"/>
    <mergeCell ref="L81:L82"/>
    <mergeCell ref="O81:O82"/>
    <mergeCell ref="R81:R82"/>
    <mergeCell ref="U81:U82"/>
    <mergeCell ref="A79:A102"/>
    <mergeCell ref="B79:B80"/>
    <mergeCell ref="C79:C80"/>
    <mergeCell ref="F79:F80"/>
    <mergeCell ref="G79:G80"/>
    <mergeCell ref="I79:I80"/>
    <mergeCell ref="B83:B84"/>
    <mergeCell ref="C83:C84"/>
    <mergeCell ref="F83:F84"/>
    <mergeCell ref="G83:G84"/>
    <mergeCell ref="I83:I84"/>
    <mergeCell ref="B87:B88"/>
    <mergeCell ref="C87:C88"/>
    <mergeCell ref="F87:F88"/>
    <mergeCell ref="G87:G88"/>
    <mergeCell ref="I87:I88"/>
    <mergeCell ref="B95:B96"/>
    <mergeCell ref="C95:C96"/>
    <mergeCell ref="F95:F96"/>
    <mergeCell ref="G95:G96"/>
    <mergeCell ref="I95:I96"/>
    <mergeCell ref="O75:O76"/>
    <mergeCell ref="R75:R76"/>
    <mergeCell ref="U75:U76"/>
    <mergeCell ref="B77:B78"/>
    <mergeCell ref="C77:C78"/>
    <mergeCell ref="F77:F78"/>
    <mergeCell ref="G77:G78"/>
    <mergeCell ref="I77:I78"/>
    <mergeCell ref="L77:L78"/>
    <mergeCell ref="O77:O78"/>
    <mergeCell ref="B75:B76"/>
    <mergeCell ref="C75:C76"/>
    <mergeCell ref="F75:F76"/>
    <mergeCell ref="G75:G76"/>
    <mergeCell ref="I75:I76"/>
    <mergeCell ref="L75:L76"/>
    <mergeCell ref="R77:R78"/>
    <mergeCell ref="U77:U78"/>
    <mergeCell ref="L71:L72"/>
    <mergeCell ref="O71:O72"/>
    <mergeCell ref="R71:R72"/>
    <mergeCell ref="U71:U72"/>
    <mergeCell ref="B73:B74"/>
    <mergeCell ref="C73:C74"/>
    <mergeCell ref="F73:F74"/>
    <mergeCell ref="G73:G74"/>
    <mergeCell ref="I73:I74"/>
    <mergeCell ref="L73:L74"/>
    <mergeCell ref="O73:O74"/>
    <mergeCell ref="R73:R74"/>
    <mergeCell ref="U73:U74"/>
    <mergeCell ref="O67:O68"/>
    <mergeCell ref="R67:R68"/>
    <mergeCell ref="U67:U68"/>
    <mergeCell ref="B69:B70"/>
    <mergeCell ref="C69:C70"/>
    <mergeCell ref="F69:F70"/>
    <mergeCell ref="G69:G70"/>
    <mergeCell ref="I69:I70"/>
    <mergeCell ref="L69:L70"/>
    <mergeCell ref="O69:O70"/>
    <mergeCell ref="B67:B68"/>
    <mergeCell ref="C67:C68"/>
    <mergeCell ref="F67:F68"/>
    <mergeCell ref="G67:G68"/>
    <mergeCell ref="I67:I68"/>
    <mergeCell ref="L67:L68"/>
    <mergeCell ref="R69:R70"/>
    <mergeCell ref="U69:U70"/>
    <mergeCell ref="L63:L64"/>
    <mergeCell ref="O63:O64"/>
    <mergeCell ref="R63:R64"/>
    <mergeCell ref="U63:U64"/>
    <mergeCell ref="B65:B66"/>
    <mergeCell ref="C65:C66"/>
    <mergeCell ref="F65:F66"/>
    <mergeCell ref="G65:G66"/>
    <mergeCell ref="I65:I66"/>
    <mergeCell ref="L65:L66"/>
    <mergeCell ref="O65:O66"/>
    <mergeCell ref="R65:R66"/>
    <mergeCell ref="U65:U66"/>
    <mergeCell ref="L59:L60"/>
    <mergeCell ref="O59:O60"/>
    <mergeCell ref="R59:R60"/>
    <mergeCell ref="U59:U60"/>
    <mergeCell ref="B61:B62"/>
    <mergeCell ref="C61:C62"/>
    <mergeCell ref="F61:F62"/>
    <mergeCell ref="G61:G62"/>
    <mergeCell ref="I61:I62"/>
    <mergeCell ref="L61:L62"/>
    <mergeCell ref="O61:O62"/>
    <mergeCell ref="R61:R62"/>
    <mergeCell ref="U61:U62"/>
    <mergeCell ref="L55:L56"/>
    <mergeCell ref="O55:O56"/>
    <mergeCell ref="R55:R56"/>
    <mergeCell ref="U55:U56"/>
    <mergeCell ref="B57:B58"/>
    <mergeCell ref="C57:C58"/>
    <mergeCell ref="F57:F58"/>
    <mergeCell ref="G57:G58"/>
    <mergeCell ref="I57:I58"/>
    <mergeCell ref="L57:L58"/>
    <mergeCell ref="O57:O58"/>
    <mergeCell ref="R57:R58"/>
    <mergeCell ref="U57:U58"/>
    <mergeCell ref="A55:A78"/>
    <mergeCell ref="B55:B56"/>
    <mergeCell ref="C55:C56"/>
    <mergeCell ref="F55:F56"/>
    <mergeCell ref="G55:G56"/>
    <mergeCell ref="I55:I56"/>
    <mergeCell ref="B59:B60"/>
    <mergeCell ref="C59:C60"/>
    <mergeCell ref="F59:F60"/>
    <mergeCell ref="G59:G60"/>
    <mergeCell ref="I59:I60"/>
    <mergeCell ref="B63:B64"/>
    <mergeCell ref="C63:C64"/>
    <mergeCell ref="F63:F64"/>
    <mergeCell ref="G63:G64"/>
    <mergeCell ref="I63:I64"/>
    <mergeCell ref="B71:B72"/>
    <mergeCell ref="C71:C72"/>
    <mergeCell ref="F71:F72"/>
    <mergeCell ref="G71:G72"/>
    <mergeCell ref="I71:I72"/>
    <mergeCell ref="O51:O52"/>
    <mergeCell ref="R51:R52"/>
    <mergeCell ref="U51:U52"/>
    <mergeCell ref="B53:B54"/>
    <mergeCell ref="C53:C54"/>
    <mergeCell ref="F53:F54"/>
    <mergeCell ref="G53:G54"/>
    <mergeCell ref="I53:I54"/>
    <mergeCell ref="L53:L54"/>
    <mergeCell ref="O53:O54"/>
    <mergeCell ref="B51:B52"/>
    <mergeCell ref="C51:C52"/>
    <mergeCell ref="F51:F52"/>
    <mergeCell ref="G51:G52"/>
    <mergeCell ref="I51:I52"/>
    <mergeCell ref="L51:L52"/>
    <mergeCell ref="R53:R54"/>
    <mergeCell ref="U53:U54"/>
    <mergeCell ref="L47:L48"/>
    <mergeCell ref="O47:O48"/>
    <mergeCell ref="R47:R48"/>
    <mergeCell ref="U47:U48"/>
    <mergeCell ref="B49:B50"/>
    <mergeCell ref="C49:C50"/>
    <mergeCell ref="F49:F50"/>
    <mergeCell ref="G49:G50"/>
    <mergeCell ref="I49:I50"/>
    <mergeCell ref="L49:L50"/>
    <mergeCell ref="O49:O50"/>
    <mergeCell ref="R49:R50"/>
    <mergeCell ref="U49:U50"/>
    <mergeCell ref="O43:O44"/>
    <mergeCell ref="R43:R44"/>
    <mergeCell ref="U43:U44"/>
    <mergeCell ref="B45:B46"/>
    <mergeCell ref="C45:C46"/>
    <mergeCell ref="F45:F46"/>
    <mergeCell ref="G45:G46"/>
    <mergeCell ref="I45:I46"/>
    <mergeCell ref="L45:L46"/>
    <mergeCell ref="O45:O46"/>
    <mergeCell ref="B43:B44"/>
    <mergeCell ref="C43:C44"/>
    <mergeCell ref="F43:F44"/>
    <mergeCell ref="G43:G44"/>
    <mergeCell ref="I43:I44"/>
    <mergeCell ref="L43:L44"/>
    <mergeCell ref="R45:R46"/>
    <mergeCell ref="U45:U46"/>
    <mergeCell ref="L39:L40"/>
    <mergeCell ref="O39:O40"/>
    <mergeCell ref="R39:R40"/>
    <mergeCell ref="U39:U40"/>
    <mergeCell ref="B41:B42"/>
    <mergeCell ref="C41:C42"/>
    <mergeCell ref="F41:F42"/>
    <mergeCell ref="G41:G42"/>
    <mergeCell ref="I41:I42"/>
    <mergeCell ref="L41:L42"/>
    <mergeCell ref="O41:O42"/>
    <mergeCell ref="R41:R42"/>
    <mergeCell ref="U41:U42"/>
    <mergeCell ref="L35:L36"/>
    <mergeCell ref="O35:O36"/>
    <mergeCell ref="R35:R36"/>
    <mergeCell ref="U35:U36"/>
    <mergeCell ref="B37:B38"/>
    <mergeCell ref="C37:C38"/>
    <mergeCell ref="F37:F38"/>
    <mergeCell ref="G37:G38"/>
    <mergeCell ref="I37:I38"/>
    <mergeCell ref="L37:L38"/>
    <mergeCell ref="O37:O38"/>
    <mergeCell ref="R37:R38"/>
    <mergeCell ref="U37:U38"/>
    <mergeCell ref="L31:L32"/>
    <mergeCell ref="O31:O32"/>
    <mergeCell ref="R31:R32"/>
    <mergeCell ref="U31:U32"/>
    <mergeCell ref="B33:B34"/>
    <mergeCell ref="C33:C34"/>
    <mergeCell ref="F33:F34"/>
    <mergeCell ref="G33:G34"/>
    <mergeCell ref="I33:I34"/>
    <mergeCell ref="L33:L34"/>
    <mergeCell ref="O33:O34"/>
    <mergeCell ref="R33:R34"/>
    <mergeCell ref="U33:U34"/>
    <mergeCell ref="A31:A54"/>
    <mergeCell ref="B31:B32"/>
    <mergeCell ref="C31:C32"/>
    <mergeCell ref="F31:F32"/>
    <mergeCell ref="G31:G32"/>
    <mergeCell ref="I31:I32"/>
    <mergeCell ref="B35:B36"/>
    <mergeCell ref="C35:C36"/>
    <mergeCell ref="F35:F36"/>
    <mergeCell ref="G35:G36"/>
    <mergeCell ref="I35:I36"/>
    <mergeCell ref="B39:B40"/>
    <mergeCell ref="C39:C40"/>
    <mergeCell ref="F39:F40"/>
    <mergeCell ref="G39:G40"/>
    <mergeCell ref="I39:I40"/>
    <mergeCell ref="B47:B48"/>
    <mergeCell ref="C47:C48"/>
    <mergeCell ref="F47:F48"/>
    <mergeCell ref="G47:G48"/>
    <mergeCell ref="I47:I48"/>
    <mergeCell ref="O27:O28"/>
    <mergeCell ref="R27:R28"/>
    <mergeCell ref="U27:U28"/>
    <mergeCell ref="B29:B30"/>
    <mergeCell ref="C29:C30"/>
    <mergeCell ref="F29:F30"/>
    <mergeCell ref="G29:G30"/>
    <mergeCell ref="I29:I30"/>
    <mergeCell ref="L29:L30"/>
    <mergeCell ref="O29:O30"/>
    <mergeCell ref="B27:B28"/>
    <mergeCell ref="C27:C28"/>
    <mergeCell ref="F27:F28"/>
    <mergeCell ref="G27:G28"/>
    <mergeCell ref="I27:I28"/>
    <mergeCell ref="L27:L28"/>
    <mergeCell ref="R29:R30"/>
    <mergeCell ref="U29:U30"/>
    <mergeCell ref="F23:F24"/>
    <mergeCell ref="G23:G24"/>
    <mergeCell ref="I23:I24"/>
    <mergeCell ref="L23:L24"/>
    <mergeCell ref="O23:O24"/>
    <mergeCell ref="R23:R24"/>
    <mergeCell ref="U23:U24"/>
    <mergeCell ref="B25:B26"/>
    <mergeCell ref="C25:C26"/>
    <mergeCell ref="F25:F26"/>
    <mergeCell ref="G25:G26"/>
    <mergeCell ref="I25:I26"/>
    <mergeCell ref="L25:L26"/>
    <mergeCell ref="O25:O26"/>
    <mergeCell ref="R25:R26"/>
    <mergeCell ref="U25:U26"/>
    <mergeCell ref="O19:O20"/>
    <mergeCell ref="R19:R20"/>
    <mergeCell ref="U19:U20"/>
    <mergeCell ref="B21:B22"/>
    <mergeCell ref="C21:C22"/>
    <mergeCell ref="F21:F22"/>
    <mergeCell ref="G21:G22"/>
    <mergeCell ref="I21:I22"/>
    <mergeCell ref="L21:L22"/>
    <mergeCell ref="O21:O22"/>
    <mergeCell ref="B19:B20"/>
    <mergeCell ref="C19:C20"/>
    <mergeCell ref="F19:F20"/>
    <mergeCell ref="G19:G20"/>
    <mergeCell ref="I19:I20"/>
    <mergeCell ref="L19:L20"/>
    <mergeCell ref="R21:R22"/>
    <mergeCell ref="U21:U22"/>
    <mergeCell ref="U15:U16"/>
    <mergeCell ref="B17:B18"/>
    <mergeCell ref="C17:C18"/>
    <mergeCell ref="F17:F18"/>
    <mergeCell ref="G17:G18"/>
    <mergeCell ref="I17:I18"/>
    <mergeCell ref="L17:L18"/>
    <mergeCell ref="O17:O18"/>
    <mergeCell ref="R17:R18"/>
    <mergeCell ref="U17:U18"/>
    <mergeCell ref="F15:F16"/>
    <mergeCell ref="G15:G16"/>
    <mergeCell ref="I15:I16"/>
    <mergeCell ref="L15:L16"/>
    <mergeCell ref="O15:O16"/>
    <mergeCell ref="R15:R16"/>
    <mergeCell ref="U9:U10"/>
    <mergeCell ref="F7:F8"/>
    <mergeCell ref="G7:G8"/>
    <mergeCell ref="I7:I8"/>
    <mergeCell ref="L7:L8"/>
    <mergeCell ref="O7:O8"/>
    <mergeCell ref="R7:R8"/>
    <mergeCell ref="U11:U12"/>
    <mergeCell ref="B13:B14"/>
    <mergeCell ref="C13:C14"/>
    <mergeCell ref="F13:F14"/>
    <mergeCell ref="G13:G14"/>
    <mergeCell ref="I13:I14"/>
    <mergeCell ref="L13:L14"/>
    <mergeCell ref="O13:O14"/>
    <mergeCell ref="R13:R14"/>
    <mergeCell ref="U13:U14"/>
    <mergeCell ref="F11:F12"/>
    <mergeCell ref="G11:G12"/>
    <mergeCell ref="I11:I12"/>
    <mergeCell ref="L11:L12"/>
    <mergeCell ref="O11:O12"/>
    <mergeCell ref="R11:R12"/>
    <mergeCell ref="Z3:Z6"/>
    <mergeCell ref="D3:E3"/>
    <mergeCell ref="D4:E4"/>
    <mergeCell ref="D5:E5"/>
    <mergeCell ref="A7:A30"/>
    <mergeCell ref="B7:B8"/>
    <mergeCell ref="C7:C8"/>
    <mergeCell ref="B11:B12"/>
    <mergeCell ref="C11:C12"/>
    <mergeCell ref="B15:B16"/>
    <mergeCell ref="C15:C16"/>
    <mergeCell ref="B23:B24"/>
    <mergeCell ref="C23:C24"/>
    <mergeCell ref="D6:E6"/>
    <mergeCell ref="A6:B6"/>
    <mergeCell ref="U7:U8"/>
    <mergeCell ref="B9:B10"/>
    <mergeCell ref="C9:C10"/>
    <mergeCell ref="F9:F10"/>
    <mergeCell ref="G9:G10"/>
    <mergeCell ref="I9:I10"/>
    <mergeCell ref="L9:L10"/>
    <mergeCell ref="O9:O10"/>
    <mergeCell ref="R9:R10"/>
    <mergeCell ref="Z7:Z126"/>
    <mergeCell ref="X7:X30"/>
    <mergeCell ref="Y7:Y30"/>
    <mergeCell ref="X31:X54"/>
    <mergeCell ref="Y31:Y54"/>
    <mergeCell ref="X55:X78"/>
    <mergeCell ref="Y55:Y78"/>
    <mergeCell ref="X79:X102"/>
    <mergeCell ref="Y79:Y102"/>
    <mergeCell ref="X103:X126"/>
    <mergeCell ref="Y103:Y12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8" scale="40" orientation="landscape" r:id="rId1"/>
  <ignoredErrors>
    <ignoredError sqref="I8:M8 I7:M7 P7 H127:V138 I9:M126 P125:P126 S7:V7 P9:P124 S9:V124 O8:P8 R8:V8 R125:V126 H8:H126 N8:N126 Q8:Q1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6"/>
  <sheetViews>
    <sheetView topLeftCell="C1" zoomScale="70" zoomScaleNormal="70" workbookViewId="0">
      <selection activeCell="W1" sqref="W1"/>
    </sheetView>
  </sheetViews>
  <sheetFormatPr defaultColWidth="8.875" defaultRowHeight="15" customHeight="1"/>
  <cols>
    <col min="1" max="1" width="16.625" style="66" customWidth="1"/>
    <col min="2" max="2" width="15.25" style="66" customWidth="1"/>
    <col min="3" max="3" width="10.625" style="66" customWidth="1"/>
    <col min="4" max="4" width="9.5" style="66" customWidth="1"/>
    <col min="5" max="5" width="8.375" style="67" customWidth="1"/>
    <col min="6" max="6" width="8.5" style="67" customWidth="1"/>
    <col min="7" max="7" width="9.375" style="67" customWidth="1"/>
    <col min="8" max="8" width="12.375" style="68" customWidth="1"/>
    <col min="9" max="9" width="17" style="67" customWidth="1"/>
    <col min="10" max="10" width="18.25" style="67" customWidth="1"/>
    <col min="11" max="11" width="12" style="68" customWidth="1"/>
    <col min="12" max="12" width="17" style="67" customWidth="1"/>
    <col min="13" max="13" width="18.25" style="67" customWidth="1"/>
    <col min="14" max="14" width="14.375" style="66" customWidth="1"/>
    <col min="15" max="15" width="17" style="66" customWidth="1"/>
    <col min="16" max="16" width="18.25" style="66" customWidth="1"/>
    <col min="17" max="17" width="14.25" style="66" customWidth="1"/>
    <col min="18" max="18" width="17" style="66" customWidth="1"/>
    <col min="19" max="19" width="18.25" style="66" customWidth="1"/>
    <col min="20" max="20" width="11.375" style="66" customWidth="1"/>
    <col min="21" max="21" width="10.25" style="66" customWidth="1"/>
    <col min="22" max="22" width="18.25" style="66" customWidth="1"/>
    <col min="23" max="23" width="14.375" style="66" customWidth="1"/>
    <col min="24" max="24" width="13.375" style="66" customWidth="1"/>
    <col min="25" max="25" width="15.75" style="66" customWidth="1"/>
    <col min="26" max="26" width="17.5" style="66" customWidth="1"/>
    <col min="27" max="16384" width="8.875" style="66"/>
  </cols>
  <sheetData>
    <row r="1" spans="1:26" ht="15" customHeight="1">
      <c r="A1" s="66" t="s">
        <v>932</v>
      </c>
      <c r="Z1" s="357"/>
    </row>
    <row r="3" spans="1:26" s="355" customFormat="1" ht="42" customHeight="1">
      <c r="A3" s="600" t="s">
        <v>521</v>
      </c>
      <c r="B3" s="600" t="s">
        <v>522</v>
      </c>
      <c r="C3" s="331" t="s">
        <v>121</v>
      </c>
      <c r="D3" s="588" t="s">
        <v>13</v>
      </c>
      <c r="E3" s="588"/>
      <c r="F3" s="331" t="s">
        <v>620</v>
      </c>
      <c r="G3" s="332" t="s">
        <v>76</v>
      </c>
      <c r="H3" s="333" t="s">
        <v>980</v>
      </c>
      <c r="I3" s="71" t="s">
        <v>981</v>
      </c>
      <c r="J3" s="71" t="s">
        <v>982</v>
      </c>
      <c r="K3" s="333" t="s">
        <v>901</v>
      </c>
      <c r="L3" s="71" t="s">
        <v>902</v>
      </c>
      <c r="M3" s="71" t="s">
        <v>916</v>
      </c>
      <c r="N3" s="333" t="s">
        <v>101</v>
      </c>
      <c r="O3" s="71" t="s">
        <v>102</v>
      </c>
      <c r="P3" s="71" t="s">
        <v>103</v>
      </c>
      <c r="Q3" s="333" t="s">
        <v>917</v>
      </c>
      <c r="R3" s="71" t="s">
        <v>918</v>
      </c>
      <c r="S3" s="71" t="s">
        <v>919</v>
      </c>
      <c r="T3" s="333" t="s">
        <v>104</v>
      </c>
      <c r="U3" s="71" t="s">
        <v>105</v>
      </c>
      <c r="V3" s="71" t="s">
        <v>106</v>
      </c>
      <c r="W3" s="71" t="s">
        <v>107</v>
      </c>
      <c r="X3" s="71" t="s">
        <v>88</v>
      </c>
      <c r="Y3" s="71" t="s">
        <v>107</v>
      </c>
      <c r="Z3" s="612" t="s">
        <v>626</v>
      </c>
    </row>
    <row r="4" spans="1:26" s="355" customFormat="1" ht="25.15" customHeight="1">
      <c r="A4" s="600"/>
      <c r="B4" s="600"/>
      <c r="C4" s="248" t="s">
        <v>563</v>
      </c>
      <c r="D4" s="548" t="s">
        <v>61</v>
      </c>
      <c r="E4" s="548"/>
      <c r="F4" s="164" t="s">
        <v>74</v>
      </c>
      <c r="G4" s="164" t="s">
        <v>77</v>
      </c>
      <c r="H4" s="289" t="s">
        <v>73</v>
      </c>
      <c r="I4" s="244" t="s">
        <v>72</v>
      </c>
      <c r="J4" s="244" t="s">
        <v>71</v>
      </c>
      <c r="K4" s="289" t="s">
        <v>81</v>
      </c>
      <c r="L4" s="244" t="s">
        <v>82</v>
      </c>
      <c r="M4" s="244" t="s">
        <v>83</v>
      </c>
      <c r="N4" s="289" t="s">
        <v>81</v>
      </c>
      <c r="O4" s="244" t="s">
        <v>82</v>
      </c>
      <c r="P4" s="244" t="s">
        <v>83</v>
      </c>
      <c r="Q4" s="289" t="s">
        <v>81</v>
      </c>
      <c r="R4" s="244" t="s">
        <v>82</v>
      </c>
      <c r="S4" s="244" t="s">
        <v>83</v>
      </c>
      <c r="T4" s="289" t="s">
        <v>85</v>
      </c>
      <c r="U4" s="244" t="s">
        <v>87</v>
      </c>
      <c r="V4" s="244" t="s">
        <v>83</v>
      </c>
      <c r="W4" s="244" t="s">
        <v>83</v>
      </c>
      <c r="X4" s="244" t="s">
        <v>108</v>
      </c>
      <c r="Y4" s="244" t="s">
        <v>111</v>
      </c>
      <c r="Z4" s="613"/>
    </row>
    <row r="5" spans="1:26" s="355" customFormat="1" ht="54" customHeight="1">
      <c r="A5" s="600"/>
      <c r="B5" s="600"/>
      <c r="C5" s="356" t="s">
        <v>57</v>
      </c>
      <c r="D5" s="600" t="s">
        <v>60</v>
      </c>
      <c r="E5" s="600"/>
      <c r="F5" s="335" t="s">
        <v>62</v>
      </c>
      <c r="G5" s="335" t="s">
        <v>546</v>
      </c>
      <c r="H5" s="336" t="s">
        <v>75</v>
      </c>
      <c r="I5" s="72" t="s">
        <v>78</v>
      </c>
      <c r="J5" s="337" t="s">
        <v>920</v>
      </c>
      <c r="K5" s="336" t="s">
        <v>548</v>
      </c>
      <c r="L5" s="72" t="s">
        <v>80</v>
      </c>
      <c r="M5" s="337" t="s">
        <v>921</v>
      </c>
      <c r="N5" s="336" t="s">
        <v>537</v>
      </c>
      <c r="O5" s="72" t="s">
        <v>549</v>
      </c>
      <c r="P5" s="337" t="s">
        <v>922</v>
      </c>
      <c r="Q5" s="336" t="s">
        <v>539</v>
      </c>
      <c r="R5" s="72" t="s">
        <v>540</v>
      </c>
      <c r="S5" s="337" t="s">
        <v>923</v>
      </c>
      <c r="T5" s="336" t="s">
        <v>453</v>
      </c>
      <c r="U5" s="72" t="s">
        <v>454</v>
      </c>
      <c r="V5" s="337" t="s">
        <v>543</v>
      </c>
      <c r="W5" s="72" t="s">
        <v>541</v>
      </c>
      <c r="X5" s="213" t="s">
        <v>621</v>
      </c>
      <c r="Y5" s="72" t="s">
        <v>622</v>
      </c>
      <c r="Z5" s="584"/>
    </row>
    <row r="6" spans="1:26" s="355" customFormat="1" ht="31.5" customHeight="1">
      <c r="A6" s="581" t="s">
        <v>312</v>
      </c>
      <c r="B6" s="582"/>
      <c r="C6" s="338" t="s">
        <v>756</v>
      </c>
      <c r="D6" s="601" t="s">
        <v>758</v>
      </c>
      <c r="E6" s="602"/>
      <c r="F6" s="338" t="s">
        <v>510</v>
      </c>
      <c r="G6" s="338" t="s">
        <v>547</v>
      </c>
      <c r="H6" s="73" t="s">
        <v>492</v>
      </c>
      <c r="I6" s="214" t="s">
        <v>511</v>
      </c>
      <c r="J6" s="214" t="s">
        <v>433</v>
      </c>
      <c r="K6" s="73" t="s">
        <v>434</v>
      </c>
      <c r="L6" s="73" t="s">
        <v>435</v>
      </c>
      <c r="M6" s="214" t="s">
        <v>550</v>
      </c>
      <c r="N6" s="73" t="s">
        <v>492</v>
      </c>
      <c r="O6" s="214" t="s">
        <v>512</v>
      </c>
      <c r="P6" s="214" t="s">
        <v>551</v>
      </c>
      <c r="Q6" s="73" t="s">
        <v>492</v>
      </c>
      <c r="R6" s="214" t="s">
        <v>513</v>
      </c>
      <c r="S6" s="214" t="s">
        <v>437</v>
      </c>
      <c r="T6" s="73" t="s">
        <v>492</v>
      </c>
      <c r="U6" s="340" t="s">
        <v>317</v>
      </c>
      <c r="V6" s="214" t="s">
        <v>438</v>
      </c>
      <c r="W6" s="340" t="s">
        <v>545</v>
      </c>
      <c r="X6" s="214" t="s">
        <v>865</v>
      </c>
      <c r="Y6" s="340" t="s">
        <v>545</v>
      </c>
      <c r="Z6" s="585"/>
    </row>
    <row r="7" spans="1:26" ht="15" customHeight="1">
      <c r="A7" s="603" t="s">
        <v>933</v>
      </c>
      <c r="B7" s="588" t="s">
        <v>45</v>
      </c>
      <c r="C7" s="586">
        <f>'ｼｰﾄNO.3（表-3）59頁'!$F$30</f>
        <v>9</v>
      </c>
      <c r="D7" s="216" t="s">
        <v>65</v>
      </c>
      <c r="E7" s="342">
        <f>'ｼｰﾄNO.4（表-4）60頁'!G6</f>
        <v>775.19999999999993</v>
      </c>
      <c r="F7" s="590">
        <f>'ｼｰﾄNO.4（表-4）60頁'!C6/1000</f>
        <v>1.054</v>
      </c>
      <c r="G7" s="590">
        <f>'ｼｰﾄNO.4（表-4）60頁'!C6/1000/('ｼｰﾄNO.4（表-4）60頁'!D6/3600)</f>
        <v>29.413953488372094</v>
      </c>
      <c r="H7" s="219">
        <f>-2.71095565/G7-0.09453616*G7+0.00089493*G7^2+3.15403637</f>
        <v>1.0554646514177595</v>
      </c>
      <c r="I7" s="592">
        <v>10000</v>
      </c>
      <c r="J7" s="343">
        <f>C7*E7*F7*H7/1000000*I7</f>
        <v>77.614091321320416</v>
      </c>
      <c r="K7" s="219">
        <f>1501.20185/G7-2.40935*G7+0.02115*G7^2+174.47635</f>
        <v>172.94347691075419</v>
      </c>
      <c r="L7" s="592">
        <v>2891</v>
      </c>
      <c r="M7" s="343">
        <f>C7*E7*F7*K7/1000000*L7</f>
        <v>3676.623526962931</v>
      </c>
      <c r="N7" s="219">
        <f>-0.25063622/G7-0.00657231*G7+0.00005332*G7^2+0.29056757</f>
        <v>0.13486038477096629</v>
      </c>
      <c r="O7" s="592">
        <v>840100</v>
      </c>
      <c r="P7" s="343">
        <f>C7*E7*F7*N7/1000000*O7</f>
        <v>833.12902227219013</v>
      </c>
      <c r="Q7" s="219">
        <f>0.093055673/G7-0.0002682273*G7+0.00000218*G7^2+0.0173678037</f>
        <v>1.4527929658914706E-2</v>
      </c>
      <c r="R7" s="592">
        <v>482200</v>
      </c>
      <c r="S7" s="343">
        <f>C7*E7*F7*Q7/1000000*R7</f>
        <v>51.514301899475647</v>
      </c>
      <c r="T7" s="219">
        <f>0.630901162/G7-0.001006579*G7+0.000008915*G7^2+0.0072170055</f>
        <v>6.7716664940150866E-3</v>
      </c>
      <c r="U7" s="592">
        <v>160</v>
      </c>
      <c r="V7" s="343">
        <f>C7*E7*F7*T7*U7</f>
        <v>7967.323069823753</v>
      </c>
      <c r="W7" s="597">
        <f>SUM(J7:J30)+SUM(M7:M30)+SUM(P7:P30)+SUM(S7:S30)+SUM(V7:V30)</f>
        <v>145570.6322827166</v>
      </c>
      <c r="X7" s="597">
        <f>'ｼｰﾄNO.3（表-3）59頁'!F35</f>
        <v>16</v>
      </c>
      <c r="Y7" s="597">
        <f>W7*X7</f>
        <v>2329130.1165234656</v>
      </c>
      <c r="Z7" s="594">
        <f>SUM(Y7:Y126)</f>
        <v>13793259.478842866</v>
      </c>
    </row>
    <row r="8" spans="1:26" ht="15" customHeight="1">
      <c r="A8" s="604"/>
      <c r="B8" s="589"/>
      <c r="C8" s="587"/>
      <c r="D8" s="217" t="s">
        <v>66</v>
      </c>
      <c r="E8" s="344">
        <f>'ｼｰﾄNO.4（表-4）60頁'!G7</f>
        <v>40.800000000000004</v>
      </c>
      <c r="F8" s="591"/>
      <c r="G8" s="591"/>
      <c r="H8" s="218">
        <f>12.28697452/G7-0.05907844*G7+0.00051753*G7^2+2.69979197</f>
        <v>1.8275444776395025</v>
      </c>
      <c r="I8" s="593"/>
      <c r="J8" s="345">
        <f>C7*E8*F7*H8/1000000*I7</f>
        <v>7.0731234612744354</v>
      </c>
      <c r="K8" s="218">
        <f>908.52069/G7-23.49889*G7+0.18396*G7^2+1364.81344</f>
        <v>863.66422155382952</v>
      </c>
      <c r="L8" s="593"/>
      <c r="M8" s="345">
        <f>C7*E8*F7*K8/1000000*L7</f>
        <v>966.35412274020882</v>
      </c>
      <c r="N8" s="218">
        <f>9.45345681/G7-0.14325844*G7+0.00124097*G7^2+5.98054622</f>
        <v>3.1618059863109744</v>
      </c>
      <c r="O8" s="593"/>
      <c r="P8" s="345">
        <f>C7*E8*F7*N8/1000000*O7</f>
        <v>1028.0387514380641</v>
      </c>
      <c r="Q8" s="218">
        <f>0.6037810576/G7-0.0052863845*G7+0.000423961*G7^2+0.3189943526</f>
        <v>0.55083077087724097</v>
      </c>
      <c r="R8" s="593"/>
      <c r="S8" s="345">
        <f>C7*E8*F7*Q8/1000000*R7</f>
        <v>102.79895090169543</v>
      </c>
      <c r="T8" s="218">
        <f>0.2877659/G7-0.008903887*G7+0.000069093*G7^2+0.516185391</f>
        <v>0.323848112784486</v>
      </c>
      <c r="U8" s="593"/>
      <c r="V8" s="345">
        <f>C7*E8*F7*T8*U7</f>
        <v>20054.167435719086</v>
      </c>
      <c r="W8" s="598"/>
      <c r="X8" s="598"/>
      <c r="Y8" s="598"/>
      <c r="Z8" s="595"/>
    </row>
    <row r="9" spans="1:26" ht="15" customHeight="1">
      <c r="A9" s="604"/>
      <c r="B9" s="588" t="s">
        <v>46</v>
      </c>
      <c r="C9" s="586">
        <f>'ｼｰﾄNO.3（表-3）59頁'!$F$30</f>
        <v>9</v>
      </c>
      <c r="D9" s="216" t="s">
        <v>65</v>
      </c>
      <c r="E9" s="342">
        <f>'ｼｰﾄNO.4（表-4）60頁'!G8</f>
        <v>149.15</v>
      </c>
      <c r="F9" s="590">
        <f>'ｼｰﾄNO.4（表-4）60頁'!C8/1000</f>
        <v>0.76100000000000001</v>
      </c>
      <c r="G9" s="590">
        <f>'ｼｰﾄNO.4（表-4）60頁'!C8/1000/('ｼｰﾄNO.4（表-4）60頁'!D8/3600)</f>
        <v>28.243298969072164</v>
      </c>
      <c r="H9" s="219">
        <f>-2.71095565/G9-0.09453616*G9+0.00089493*G9^2+3.15403637</f>
        <v>1.1019088250288087</v>
      </c>
      <c r="I9" s="592">
        <v>10000</v>
      </c>
      <c r="J9" s="343">
        <f t="shared" ref="J9" si="0">C9*E9*F9*H9/1000000*I9</f>
        <v>11.256311038821179</v>
      </c>
      <c r="K9" s="219">
        <f t="shared" ref="K9" si="1">1501.20185/G9-2.40935*G9+0.02115*G9^2+174.47635</f>
        <v>176.45186940323833</v>
      </c>
      <c r="L9" s="592">
        <v>2891</v>
      </c>
      <c r="M9" s="343">
        <f t="shared" ref="M9" si="2">C9*E9*F9*K9/1000000*L9</f>
        <v>521.10444703407302</v>
      </c>
      <c r="N9" s="219">
        <f>-0.25063622/G9-0.00657231*G9+0.00005332*G9^2+0.29056757</f>
        <v>0.13860217767355143</v>
      </c>
      <c r="O9" s="592">
        <v>840100</v>
      </c>
      <c r="P9" s="343">
        <f t="shared" ref="P9" si="3">C9*E9*F9*N9/1000000*O9</f>
        <v>118.94644385221321</v>
      </c>
      <c r="Q9" s="219">
        <f>0.093055673/G9-0.0002682273*G9+0.00000218*G9^2+0.0173678037</f>
        <v>1.4825918519141416E-2</v>
      </c>
      <c r="R9" s="592">
        <v>482200</v>
      </c>
      <c r="S9" s="343">
        <f t="shared" ref="S9" si="4">C9*E9*F9*Q9/1000000*R9</f>
        <v>7.3029653307852334</v>
      </c>
      <c r="T9" s="219">
        <f t="shared" ref="T9" si="5">0.630901162/G9-0.001006579*G9+0.000008915*G9^2+0.0072170055</f>
        <v>8.237329354738903E-3</v>
      </c>
      <c r="U9" s="592">
        <v>160</v>
      </c>
      <c r="V9" s="343">
        <f t="shared" ref="V9" si="6">C9*E9*F9*T9*U9</f>
        <v>1346.3464742644796</v>
      </c>
      <c r="W9" s="598"/>
      <c r="X9" s="598"/>
      <c r="Y9" s="598"/>
      <c r="Z9" s="595"/>
    </row>
    <row r="10" spans="1:26" ht="15" customHeight="1">
      <c r="A10" s="604"/>
      <c r="B10" s="589"/>
      <c r="C10" s="587"/>
      <c r="D10" s="217" t="s">
        <v>66</v>
      </c>
      <c r="E10" s="344">
        <f>'ｼｰﾄNO.4（表-4）60頁'!G9</f>
        <v>7.8500000000000005</v>
      </c>
      <c r="F10" s="591"/>
      <c r="G10" s="591"/>
      <c r="H10" s="218">
        <f>12.28697452/G9-0.05907844*G9+0.00051753*G9^2+2.69979197</f>
        <v>1.8790876389278492</v>
      </c>
      <c r="I10" s="593"/>
      <c r="J10" s="345">
        <f t="shared" ref="J10" si="7">C9*E10*F9*H10/1000000*I9</f>
        <v>1.0102848922628218</v>
      </c>
      <c r="K10" s="218">
        <f t="shared" ref="K10" si="8">908.52069/G9-23.49889*G9+0.18396*G9^2+1364.81344</f>
        <v>880.03685601753784</v>
      </c>
      <c r="L10" s="593"/>
      <c r="M10" s="345">
        <f t="shared" ref="M10" si="9">C9*E10*F9*K10/1000000*L9</f>
        <v>136.78729943560367</v>
      </c>
      <c r="N10" s="218">
        <f>9.45345681/G9-0.14325844*G9+0.00124097*G9^2+5.98054622</f>
        <v>3.2590721393592696</v>
      </c>
      <c r="O10" s="593"/>
      <c r="P10" s="345">
        <f t="shared" ref="P10" si="10">C9*E10*F9*N10/1000000*O9</f>
        <v>147.20473552110772</v>
      </c>
      <c r="Q10" s="218">
        <f>0.6037810576/G9-0.0052863845*G9+0.000423961*G9^2+0.3189943526</f>
        <v>0.52925414589531927</v>
      </c>
      <c r="R10" s="593"/>
      <c r="S10" s="345">
        <f t="shared" ref="S10" si="11">C9*E10*F9*Q10/1000000*R9</f>
        <v>13.721080039866418</v>
      </c>
      <c r="T10" s="218">
        <f t="shared" ref="T10" si="12">0.2877659/G9-0.008903887*G9+0.000069093*G9^2+0.516185391</f>
        <v>0.33001344508280239</v>
      </c>
      <c r="U10" s="593"/>
      <c r="V10" s="345">
        <f t="shared" ref="V10" si="13">C9*E10*F9*T10*U9</f>
        <v>2838.8891792273753</v>
      </c>
      <c r="W10" s="598"/>
      <c r="X10" s="598"/>
      <c r="Y10" s="598"/>
      <c r="Z10" s="595"/>
    </row>
    <row r="11" spans="1:26" ht="15" customHeight="1">
      <c r="A11" s="604"/>
      <c r="B11" s="588" t="s">
        <v>47</v>
      </c>
      <c r="C11" s="586">
        <f>'ｼｰﾄNO.3（表-3）59頁'!$F$30</f>
        <v>9</v>
      </c>
      <c r="D11" s="216" t="s">
        <v>65</v>
      </c>
      <c r="E11" s="342">
        <f>'ｼｰﾄNO.4（表-4）60頁'!G10</f>
        <v>38</v>
      </c>
      <c r="F11" s="590">
        <f>'ｼｰﾄNO.4（表-4）60頁'!C10/1000</f>
        <v>0.82399999999999995</v>
      </c>
      <c r="G11" s="590">
        <f>'ｼｰﾄNO.4（表-4）60頁'!C10/1000/('ｼｰﾄNO.4（表-4）60頁'!D10/3600)</f>
        <v>23.92258064516129</v>
      </c>
      <c r="H11" s="219">
        <f>-2.71095565/G11-0.09453616*G11+0.00089493*G11^2+3.15403637</f>
        <v>1.2913247867681457</v>
      </c>
      <c r="I11" s="592">
        <v>10000</v>
      </c>
      <c r="J11" s="343">
        <f t="shared" ref="J11" si="14">C11*E11*F11*H11/1000000*I11</f>
        <v>3.6390565550955758</v>
      </c>
      <c r="K11" s="219">
        <f t="shared" ref="K11" si="15">1501.20185/G11-2.40935*G11+0.02115*G11^2+174.47635</f>
        <v>191.69491547875842</v>
      </c>
      <c r="L11" s="592">
        <v>2891</v>
      </c>
      <c r="M11" s="343">
        <f t="shared" ref="M11" si="16">C11*E11*F11*K11/1000000*L11</f>
        <v>156.17517570291892</v>
      </c>
      <c r="N11" s="219">
        <f>-0.25063622/G11-0.00657231*G11+0.00005332*G11^2+0.29056757</f>
        <v>0.15337847706821867</v>
      </c>
      <c r="O11" s="592">
        <v>840100</v>
      </c>
      <c r="P11" s="343">
        <f t="shared" ref="P11" si="17">C11*E11*F11*N11/1000000*O11</f>
        <v>36.311879095324642</v>
      </c>
      <c r="Q11" s="219">
        <f>0.093055673/G11-0.0002682273*G11+0.00000218*G11^2+0.0173678037</f>
        <v>1.608857405816946E-2</v>
      </c>
      <c r="R11" s="592">
        <v>482200</v>
      </c>
      <c r="S11" s="343">
        <f t="shared" ref="S11" si="18">C11*E11*F11*Q11/1000000*R11</f>
        <v>2.1862412170606236</v>
      </c>
      <c r="T11" s="219">
        <f t="shared" ref="T11" si="19">0.630901162/G11-0.001006579*G11+0.000008915*G11^2+0.0072170055</f>
        <v>1.4611623729679732E-2</v>
      </c>
      <c r="U11" s="592">
        <v>160</v>
      </c>
      <c r="V11" s="343">
        <f t="shared" ref="V11" si="20">C11*E11*F11*T11*U11</f>
        <v>658.82759360217381</v>
      </c>
      <c r="W11" s="598"/>
      <c r="X11" s="598"/>
      <c r="Y11" s="598"/>
      <c r="Z11" s="595"/>
    </row>
    <row r="12" spans="1:26" ht="15" customHeight="1">
      <c r="A12" s="604"/>
      <c r="B12" s="589"/>
      <c r="C12" s="587"/>
      <c r="D12" s="217" t="s">
        <v>66</v>
      </c>
      <c r="E12" s="344">
        <f>'ｼｰﾄNO.4（表-4）60頁'!G11</f>
        <v>2</v>
      </c>
      <c r="F12" s="591"/>
      <c r="G12" s="591"/>
      <c r="H12" s="218">
        <f>12.28697452/G11-0.05907844*G11+0.00051753*G11^2+2.69979197</f>
        <v>2.0962744897164898</v>
      </c>
      <c r="I12" s="593"/>
      <c r="J12" s="345">
        <f t="shared" ref="J12" si="21">C11*E12*F11*H12/1000000*I11</f>
        <v>0.31091943231474972</v>
      </c>
      <c r="K12" s="218">
        <f t="shared" ref="K12" si="22">908.52069/G11-23.49889*G11+0.18396*G11^2+1364.81344</f>
        <v>945.91532935155487</v>
      </c>
      <c r="L12" s="593"/>
      <c r="M12" s="345">
        <f t="shared" ref="M12" si="23">C11*E12*F11*K12/1000000*L11</f>
        <v>40.560198532848077</v>
      </c>
      <c r="N12" s="218">
        <f>9.45345681/G11-0.14325844*G11+0.00124097*G11^2+5.98054622</f>
        <v>3.6587979611501487</v>
      </c>
      <c r="O12" s="593"/>
      <c r="P12" s="345">
        <f t="shared" ref="P12" si="24">C11*E12*F11*N12/1000000*O11</f>
        <v>45.589951471350339</v>
      </c>
      <c r="Q12" s="218">
        <f>0.6037810576/G11-0.0052863845*G11+0.000423961*G11^2+0.3189943526</f>
        <v>0.46039793648265764</v>
      </c>
      <c r="R12" s="593"/>
      <c r="S12" s="345">
        <f t="shared" ref="S12" si="25">C11*E12*F11*Q12/1000000*R11</f>
        <v>3.292761621903777</v>
      </c>
      <c r="T12" s="218">
        <f t="shared" ref="T12" si="26">0.2877659/G11-0.008903887*G11+0.000069093*G11^2+0.516185391</f>
        <v>0.35475170902839637</v>
      </c>
      <c r="U12" s="593"/>
      <c r="V12" s="345">
        <f t="shared" ref="V12" si="27">C11*E12*F11*T12*U11</f>
        <v>841.86837572946786</v>
      </c>
      <c r="W12" s="598"/>
      <c r="X12" s="598"/>
      <c r="Y12" s="598"/>
      <c r="Z12" s="595"/>
    </row>
    <row r="13" spans="1:26" ht="15" customHeight="1">
      <c r="A13" s="604"/>
      <c r="B13" s="588" t="s">
        <v>48</v>
      </c>
      <c r="C13" s="586">
        <f>'ｼｰﾄNO.3（表-3）59頁'!$F$30</f>
        <v>9</v>
      </c>
      <c r="D13" s="216" t="s">
        <v>65</v>
      </c>
      <c r="E13" s="342">
        <f>'ｼｰﾄNO.4（表-4）60頁'!G12</f>
        <v>755.25</v>
      </c>
      <c r="F13" s="590">
        <f>'ｼｰﾄNO.4（表-4）60頁'!C12/1000</f>
        <v>1.054</v>
      </c>
      <c r="G13" s="590">
        <f>'ｼｰﾄNO.4（表-4）60頁'!C12/1000/('ｼｰﾄNO.4（表-4）60頁'!D12/3600)</f>
        <v>28.964885496183207</v>
      </c>
      <c r="H13" s="219">
        <f>-2.71095565/G13-0.09453616*G13+0.00089493*G13^2+3.15403637</f>
        <v>1.0730273446881111</v>
      </c>
      <c r="I13" s="592">
        <v>10000</v>
      </c>
      <c r="J13" s="343">
        <f t="shared" ref="J13" si="28">C13*E13*F13*H13/1000000*I13</f>
        <v>76.874914150900523</v>
      </c>
      <c r="K13" s="219">
        <f t="shared" ref="K13" si="29">1501.20185/G13-2.40935*G13+0.02115*G13^2+174.47635</f>
        <v>174.26224136171157</v>
      </c>
      <c r="L13" s="592">
        <v>2891</v>
      </c>
      <c r="M13" s="343">
        <f t="shared" ref="M13" si="30">C13*E13*F13*K13/1000000*L13</f>
        <v>3609.31878269048</v>
      </c>
      <c r="N13" s="219">
        <f>-0.25063622/G13-0.00657231*G13+0.00005332*G13^2+0.29056757</f>
        <v>0.1362818495942732</v>
      </c>
      <c r="O13" s="592">
        <v>840100</v>
      </c>
      <c r="P13" s="343">
        <f t="shared" ref="P13" si="31">C13*E13*F13*N13/1000000*O13</f>
        <v>820.24361438160884</v>
      </c>
      <c r="Q13" s="219">
        <f>0.093055673/G13-0.0002682273*G13+0.00000218*G13^2+0.0173678037</f>
        <v>1.4640279878383174E-2</v>
      </c>
      <c r="R13" s="592">
        <v>482200</v>
      </c>
      <c r="S13" s="343">
        <f t="shared" ref="S13" si="32">C13*E13*F13*Q13/1000000*R13</f>
        <v>50.576694198702661</v>
      </c>
      <c r="T13" s="219">
        <f t="shared" ref="T13" si="33">0.630901162/G13-0.001006579*G13+0.000008915*G13^2+0.0072170055</f>
        <v>7.3225159652020536E-3</v>
      </c>
      <c r="U13" s="592">
        <v>160</v>
      </c>
      <c r="V13" s="343">
        <f t="shared" ref="V13" si="34">C13*E13*F13*T13*U13</f>
        <v>8393.7139381233628</v>
      </c>
      <c r="W13" s="598"/>
      <c r="X13" s="598"/>
      <c r="Y13" s="598"/>
      <c r="Z13" s="595"/>
    </row>
    <row r="14" spans="1:26" ht="15" customHeight="1">
      <c r="A14" s="604"/>
      <c r="B14" s="589"/>
      <c r="C14" s="587"/>
      <c r="D14" s="217" t="s">
        <v>66</v>
      </c>
      <c r="E14" s="344">
        <f>'ｼｰﾄNO.4（表-4）60頁'!G13</f>
        <v>39.75</v>
      </c>
      <c r="F14" s="591"/>
      <c r="G14" s="591"/>
      <c r="H14" s="218">
        <f>12.28697452/G13-0.05907844*G13+0.00051753*G13^2+2.69979197</f>
        <v>1.8469834852183058</v>
      </c>
      <c r="I14" s="593"/>
      <c r="J14" s="345">
        <f t="shared" ref="J14" si="35">C13*E14*F13*H14/1000000*I13</f>
        <v>6.9643929229603883</v>
      </c>
      <c r="K14" s="218">
        <f t="shared" ref="K14" si="36">908.52069/G13-23.49889*G13+0.18396*G13^2+1364.81344</f>
        <v>869.87298752783181</v>
      </c>
      <c r="L14" s="593"/>
      <c r="M14" s="345">
        <f t="shared" ref="M14" si="37">C13*E14*F13*K14/1000000*L13</f>
        <v>948.25292220977224</v>
      </c>
      <c r="N14" s="218">
        <f>9.45345681/G13-0.14325844*G13+0.00124097*G13^2+5.98054622</f>
        <v>3.1985882591353736</v>
      </c>
      <c r="O14" s="593"/>
      <c r="P14" s="345">
        <f t="shared" ref="P14" si="38">C13*E14*F13*N14/1000000*O13</f>
        <v>1013.23358535912</v>
      </c>
      <c r="Q14" s="218">
        <f>0.6037810576/G13-0.0052863845*G13+0.000423961*G13^2+0.3189943526</f>
        <v>0.54240837504317518</v>
      </c>
      <c r="R14" s="593"/>
      <c r="S14" s="345">
        <f t="shared" ref="S14" si="39">C13*E14*F13*Q14/1000000*R13</f>
        <v>98.622009182387345</v>
      </c>
      <c r="T14" s="218">
        <f t="shared" ref="T14" si="40">0.2877659/G13-0.008903887*G13+0.000069093*G13^2+0.516185391</f>
        <v>0.32618689591947797</v>
      </c>
      <c r="U14" s="593"/>
      <c r="V14" s="345">
        <f t="shared" ref="V14" si="41">C13*E14*F13*T14*U13</f>
        <v>19679.168570242189</v>
      </c>
      <c r="W14" s="598"/>
      <c r="X14" s="598"/>
      <c r="Y14" s="598"/>
      <c r="Z14" s="595"/>
    </row>
    <row r="15" spans="1:26" ht="15" customHeight="1">
      <c r="A15" s="604"/>
      <c r="B15" s="588" t="s">
        <v>49</v>
      </c>
      <c r="C15" s="586">
        <f>'ｼｰﾄNO.3（表-3）59頁'!$F$30</f>
        <v>9</v>
      </c>
      <c r="D15" s="216" t="s">
        <v>65</v>
      </c>
      <c r="E15" s="342">
        <f>'ｼｰﾄNO.4（表-4）60頁'!G14</f>
        <v>38</v>
      </c>
      <c r="F15" s="590">
        <f>'ｼｰﾄNO.4（表-4）60頁'!C14/1000</f>
        <v>0.84799999999999998</v>
      </c>
      <c r="G15" s="590">
        <f>'ｼｰﾄNO.4（表-4）60頁'!C14/1000/('ｼｰﾄNO.4（表-4）60頁'!D14/3600)</f>
        <v>23.849999999999998</v>
      </c>
      <c r="H15" s="219">
        <f>-2.71095565/G15-0.09453616*G15+0.00089493*G15^2+3.15403637</f>
        <v>1.2947383703610593</v>
      </c>
      <c r="I15" s="592">
        <v>10000</v>
      </c>
      <c r="J15" s="343">
        <f t="shared" ref="J15" si="42">C15*E15*F15*H15/1000000*I15</f>
        <v>3.7549484321863296</v>
      </c>
      <c r="K15" s="219">
        <f t="shared" ref="K15" si="43">1501.20185/G15-2.40935*G15+0.02115*G15^2+174.47635</f>
        <v>191.98742216954926</v>
      </c>
      <c r="L15" s="592">
        <v>2891</v>
      </c>
      <c r="M15" s="343">
        <f t="shared" ref="M15" si="44">C15*E15*F15*K15/1000000*L15</f>
        <v>160.96921544292829</v>
      </c>
      <c r="N15" s="219">
        <f>-0.25063622/G15-0.00657231*G15+0.00005332*G15^2+0.29056757</f>
        <v>0.15363873601551364</v>
      </c>
      <c r="O15" s="592">
        <v>840100</v>
      </c>
      <c r="P15" s="343">
        <f t="shared" ref="P15" si="45">C15*E15*F15*N15/1000000*O15</f>
        <v>37.432916767157607</v>
      </c>
      <c r="Q15" s="219">
        <f>0.093055673/G15-0.0002682273*G15+0.00000218*G15^2+0.0173678037</f>
        <v>1.6112321011876311E-2</v>
      </c>
      <c r="R15" s="592">
        <v>482200</v>
      </c>
      <c r="S15" s="343">
        <f t="shared" ref="S15" si="46">C15*E15*F15*Q15/1000000*R15</f>
        <v>2.2532390554378305</v>
      </c>
      <c r="T15" s="219">
        <f t="shared" ref="T15" si="47">0.630901162/G15-0.001006579*G15+0.000008915*G15^2+0.0072170055</f>
        <v>1.473402784735325E-2</v>
      </c>
      <c r="U15" s="592">
        <v>160</v>
      </c>
      <c r="V15" s="343">
        <f t="shared" ref="V15" si="48">C15*E15*F15*T15*U15</f>
        <v>683.69661122848015</v>
      </c>
      <c r="W15" s="598"/>
      <c r="X15" s="598"/>
      <c r="Y15" s="598"/>
      <c r="Z15" s="595"/>
    </row>
    <row r="16" spans="1:26" ht="15" customHeight="1">
      <c r="A16" s="604"/>
      <c r="B16" s="589"/>
      <c r="C16" s="587"/>
      <c r="D16" s="217" t="s">
        <v>66</v>
      </c>
      <c r="E16" s="344">
        <f>'ｼｰﾄNO.4（表-4）60頁'!G15</f>
        <v>2</v>
      </c>
      <c r="F16" s="591"/>
      <c r="G16" s="591"/>
      <c r="H16" s="218">
        <f>12.28697452/G15-0.05907844*G15+0.00051753*G15^2+2.69979197</f>
        <v>2.1003310131461741</v>
      </c>
      <c r="I16" s="593"/>
      <c r="J16" s="345">
        <f t="shared" ref="J16" si="49">C15*E16*F15*H16/1000000*I15</f>
        <v>0.32059452584663201</v>
      </c>
      <c r="K16" s="218">
        <f t="shared" ref="K16" si="50">908.52069/G15-23.49889*G15+0.18396*G15^2+1364.81344</f>
        <v>947.09861129182377</v>
      </c>
      <c r="L16" s="593"/>
      <c r="M16" s="345">
        <f t="shared" ref="M16" si="51">C15*E16*F15*K16/1000000*L15</f>
        <v>41.793779669174526</v>
      </c>
      <c r="N16" s="218">
        <f>9.45345681/G15-0.14325844*G15+0.00124097*G15^2+5.98054622</f>
        <v>3.6660954385419817</v>
      </c>
      <c r="O16" s="593"/>
      <c r="P16" s="345">
        <f t="shared" ref="P16" si="52">C15*E16*F15*N16/1000000*O15</f>
        <v>47.011391778157432</v>
      </c>
      <c r="Q16" s="218">
        <f>0.6037810576/G15-0.0052863845*G15+0.000423961*G15^2+0.3189943526</f>
        <v>0.45938840581175572</v>
      </c>
      <c r="R16" s="593"/>
      <c r="S16" s="345">
        <f t="shared" ref="S16" si="53">C15*E16*F15*Q16/1000000*R15</f>
        <v>3.3812368508069901</v>
      </c>
      <c r="T16" s="218">
        <f t="shared" ref="T16" si="54">0.2877659/G15-0.008903887*G15+0.000069093*G15^2+0.516185391</f>
        <v>0.35519499522698644</v>
      </c>
      <c r="U16" s="593"/>
      <c r="V16" s="345">
        <f t="shared" ref="V16" si="55">C15*E16*F15*T16*U15</f>
        <v>867.47142514315533</v>
      </c>
      <c r="W16" s="598"/>
      <c r="X16" s="598"/>
      <c r="Y16" s="598"/>
      <c r="Z16" s="595"/>
    </row>
    <row r="17" spans="1:26" ht="15" customHeight="1">
      <c r="A17" s="604"/>
      <c r="B17" s="588" t="s">
        <v>50</v>
      </c>
      <c r="C17" s="586">
        <f>'ｼｰﾄNO.3（表-3）59頁'!$F$30</f>
        <v>9</v>
      </c>
      <c r="D17" s="216" t="s">
        <v>65</v>
      </c>
      <c r="E17" s="342">
        <f>'ｼｰﾄNO.4（表-4）60頁'!G16</f>
        <v>145.35</v>
      </c>
      <c r="F17" s="590">
        <f>'ｼｰﾄNO.4（表-4）60頁'!C16/1000</f>
        <v>0.91</v>
      </c>
      <c r="G17" s="590">
        <f>'ｼｰﾄNO.4（表-4）60頁'!C16/1000/('ｼｰﾄNO.4（表-4）60頁'!D16/3600)</f>
        <v>28.991150442477878</v>
      </c>
      <c r="H17" s="219">
        <f>-2.71095565/G17-0.09453616*G17+0.00089493*G17^2+3.15403637</f>
        <v>1.0719914241860904</v>
      </c>
      <c r="I17" s="592">
        <v>10000</v>
      </c>
      <c r="J17" s="343">
        <f t="shared" ref="J17" si="56">C17*E17*F17*H17/1000000*I17</f>
        <v>12.761162792096208</v>
      </c>
      <c r="K17" s="219">
        <f t="shared" ref="K17" si="57">1501.20185/G17-2.40935*G17+0.02115*G17^2+174.47635</f>
        <v>174.18420007945377</v>
      </c>
      <c r="L17" s="592">
        <v>2891</v>
      </c>
      <c r="M17" s="343">
        <f t="shared" ref="M17" si="58">C17*E17*F17*K17/1000000*L17</f>
        <v>599.45389714793589</v>
      </c>
      <c r="N17" s="219">
        <f>-0.25063622/G17-0.00657231*G17+0.00005332*G17^2+0.29056757</f>
        <v>0.13619823198274428</v>
      </c>
      <c r="O17" s="592">
        <v>840100</v>
      </c>
      <c r="P17" s="343">
        <f t="shared" ref="P17" si="59">C17*E17*F17*N17/1000000*O17</f>
        <v>136.20761626565496</v>
      </c>
      <c r="Q17" s="219">
        <f>0.093055673/G17-0.0002682273*G17+0.00000218*G17^2+0.0173678037</f>
        <v>1.4633642728096287E-2</v>
      </c>
      <c r="R17" s="592">
        <v>482200</v>
      </c>
      <c r="S17" s="343">
        <f t="shared" ref="S17" si="60">C17*E17*F17*Q17/1000000*R17</f>
        <v>8.3999865696117872</v>
      </c>
      <c r="T17" s="219">
        <f t="shared" ref="T17" si="61">0.630901162/G17-0.001006579*G17+0.000008915*G17^2+0.0072170055</f>
        <v>7.2899154042381309E-3</v>
      </c>
      <c r="U17" s="592">
        <v>160</v>
      </c>
      <c r="V17" s="343">
        <f t="shared" ref="V17" si="62">C17*E17*F17*T17*U17</f>
        <v>1388.4856929294783</v>
      </c>
      <c r="W17" s="598"/>
      <c r="X17" s="598"/>
      <c r="Y17" s="598"/>
      <c r="Z17" s="595"/>
    </row>
    <row r="18" spans="1:26" ht="15" customHeight="1">
      <c r="A18" s="604"/>
      <c r="B18" s="589"/>
      <c r="C18" s="587"/>
      <c r="D18" s="217" t="s">
        <v>66</v>
      </c>
      <c r="E18" s="344">
        <f>'ｼｰﾄNO.4（表-4）60頁'!G17</f>
        <v>7.65</v>
      </c>
      <c r="F18" s="591"/>
      <c r="G18" s="591"/>
      <c r="H18" s="218">
        <f>12.28697452/G17-0.05907844*G17+0.00051753*G17^2+2.69979197</f>
        <v>1.8458352713961288</v>
      </c>
      <c r="I18" s="593"/>
      <c r="J18" s="345">
        <f t="shared" ref="J18" si="63">C17*E18*F17*H18/1000000*I17</f>
        <v>1.1564804017641737</v>
      </c>
      <c r="K18" s="218">
        <f t="shared" ref="K18" si="64">908.52069/G17-23.49889*G17+0.18396*G17^2+1364.81344</f>
        <v>869.50739986682993</v>
      </c>
      <c r="L18" s="593"/>
      <c r="M18" s="345">
        <f t="shared" ref="M18" si="65">C17*E18*F17*K18/1000000*L17</f>
        <v>157.49497830801565</v>
      </c>
      <c r="N18" s="218">
        <f>9.45345681/G17-0.14325844*G17+0.00124097*G17^2+5.98054622</f>
        <v>3.1964189181306741</v>
      </c>
      <c r="O18" s="593"/>
      <c r="P18" s="345">
        <f t="shared" ref="P18" si="66">C17*E18*F17*N18/1000000*O17</f>
        <v>168.2441661404329</v>
      </c>
      <c r="Q18" s="218">
        <f>0.6037810576/G17-0.0052863845*G17+0.000423961*G17^2+0.3189943526</f>
        <v>0.54289600195665</v>
      </c>
      <c r="R18" s="593"/>
      <c r="S18" s="345">
        <f t="shared" ref="S18" si="67">C17*E18*F17*Q18/1000000*R17</f>
        <v>16.401712172372569</v>
      </c>
      <c r="T18" s="218">
        <f t="shared" ref="T18" si="68">0.2877659/G17-0.008903887*G17+0.000069093*G17^2+0.516185391</f>
        <v>0.32604920926362169</v>
      </c>
      <c r="U18" s="593"/>
      <c r="V18" s="345">
        <f t="shared" ref="V18" si="69">C17*E18*F17*T18*U17</f>
        <v>3268.4998612157319</v>
      </c>
      <c r="W18" s="598"/>
      <c r="X18" s="598"/>
      <c r="Y18" s="598"/>
      <c r="Z18" s="595"/>
    </row>
    <row r="19" spans="1:26" ht="15" customHeight="1">
      <c r="A19" s="604"/>
      <c r="B19" s="588" t="s">
        <v>51</v>
      </c>
      <c r="C19" s="586">
        <f>'ｼｰﾄNO.3（表-3）59頁'!$F$30</f>
        <v>9</v>
      </c>
      <c r="D19" s="216" t="s">
        <v>65</v>
      </c>
      <c r="E19" s="342">
        <f>'ｼｰﾄNO.4（表-4）60頁'!G18</f>
        <v>44.65</v>
      </c>
      <c r="F19" s="590">
        <f>'ｼｰﾄNO.4（表-4）60頁'!C18/1000</f>
        <v>0.76100000000000001</v>
      </c>
      <c r="G19" s="590">
        <f>'ｼｰﾄNO.4（表-4）60頁'!C18/1000/('ｼｰﾄNO.4（表-4）60頁'!D18/3600)</f>
        <v>23.617241379310347</v>
      </c>
      <c r="H19" s="219">
        <f>-2.71095565/G19-0.09453616*G19+0.00089493*G19^2+3.15403637</f>
        <v>1.3057346844709239</v>
      </c>
      <c r="I19" s="592">
        <v>10000</v>
      </c>
      <c r="J19" s="343">
        <f t="shared" ref="J19" si="70">C19*E19*F19*H19/1000000*I19</f>
        <v>3.9930391652848156</v>
      </c>
      <c r="K19" s="219">
        <f t="shared" ref="K19" si="71">1501.20185/G19-2.40935*G19+0.02115*G19^2+174.47635</f>
        <v>192.93488175832684</v>
      </c>
      <c r="L19" s="592">
        <v>2891</v>
      </c>
      <c r="M19" s="343">
        <f t="shared" ref="M19" si="72">C19*E19*F19*K19/1000000*L19</f>
        <v>170.57189499107795</v>
      </c>
      <c r="N19" s="219">
        <f>-0.25063622/G19-0.00657231*G19+0.00005332*G19^2+0.29056757</f>
        <v>0.15447582708241564</v>
      </c>
      <c r="O19" s="592">
        <v>840100</v>
      </c>
      <c r="P19" s="343">
        <f t="shared" ref="P19" si="73">C19*E19*F19*N19/1000000*O19</f>
        <v>39.686257259973758</v>
      </c>
      <c r="Q19" s="219">
        <f>0.093055673/G19-0.0002682273*G19+0.00000218*G19^2+0.0173678037</f>
        <v>1.6189120770491214E-2</v>
      </c>
      <c r="R19" s="592">
        <v>482200</v>
      </c>
      <c r="S19" s="343">
        <f t="shared" ref="S19" si="74">C19*E19*F19*Q19/1000000*R19</f>
        <v>2.3872565762585172</v>
      </c>
      <c r="T19" s="219">
        <f t="shared" ref="T19" si="75">0.630901162/G19-0.001006579*G19+0.000008915*G19^2+0.0072170055</f>
        <v>1.5130526329236419E-2</v>
      </c>
      <c r="U19" s="592">
        <v>160</v>
      </c>
      <c r="V19" s="343">
        <f t="shared" ref="V19" si="76">C19*E19*F19*T19*U19</f>
        <v>740.32539617794896</v>
      </c>
      <c r="W19" s="598"/>
      <c r="X19" s="598"/>
      <c r="Y19" s="598"/>
      <c r="Z19" s="595"/>
    </row>
    <row r="20" spans="1:26" ht="15" customHeight="1">
      <c r="A20" s="604"/>
      <c r="B20" s="589"/>
      <c r="C20" s="587"/>
      <c r="D20" s="217" t="s">
        <v>66</v>
      </c>
      <c r="E20" s="344">
        <f>'ｼｰﾄNO.4（表-4）60頁'!G19</f>
        <v>2.35</v>
      </c>
      <c r="F20" s="591"/>
      <c r="G20" s="591"/>
      <c r="H20" s="218">
        <f>12.28697452/G19-0.05907844*G19+0.00051753*G19^2+2.69979197</f>
        <v>2.113441450076075</v>
      </c>
      <c r="I20" s="593"/>
      <c r="J20" s="345">
        <f t="shared" ref="J20" si="77">C19*E20*F19*H20/1000000*I19</f>
        <v>0.34016157155191945</v>
      </c>
      <c r="K20" s="218">
        <f t="shared" ref="K20" si="78">908.52069/G19-23.49889*G19+0.18396*G19^2+1364.81344</f>
        <v>950.91113995558328</v>
      </c>
      <c r="L20" s="593"/>
      <c r="M20" s="345">
        <f t="shared" ref="M20" si="79">C19*E20*F19*K20/1000000*L19</f>
        <v>44.246921042434408</v>
      </c>
      <c r="N20" s="218">
        <f>9.45345681/G19-0.14325844*G19+0.00124097*G19^2+5.98054622</f>
        <v>3.6896357499342938</v>
      </c>
      <c r="O20" s="593"/>
      <c r="P20" s="345">
        <f t="shared" ref="P20" si="80">C19*E20*F19*N20/1000000*O19</f>
        <v>49.889540830150217</v>
      </c>
      <c r="Q20" s="218">
        <f>0.6037810576/G19-0.0052863845*G19+0.000423961*G19^2+0.3189943526</f>
        <v>0.45618426094744002</v>
      </c>
      <c r="R20" s="593"/>
      <c r="S20" s="345">
        <f t="shared" ref="S20" si="81">C19*E20*F19*Q20/1000000*R19</f>
        <v>3.5404831506790249</v>
      </c>
      <c r="T20" s="218">
        <f t="shared" ref="T20" si="82">0.2877659/G19-0.008903887*G19+0.000069093*G19^2+0.516185391</f>
        <v>0.35662299642889494</v>
      </c>
      <c r="U20" s="593"/>
      <c r="V20" s="345">
        <f t="shared" ref="V20" si="83">C19*E20*F19*T20*U19</f>
        <v>918.38409935560458</v>
      </c>
      <c r="W20" s="598"/>
      <c r="X20" s="598"/>
      <c r="Y20" s="598"/>
      <c r="Z20" s="595"/>
    </row>
    <row r="21" spans="1:26" ht="15" customHeight="1">
      <c r="A21" s="604"/>
      <c r="B21" s="588" t="s">
        <v>52</v>
      </c>
      <c r="C21" s="586">
        <f>'ｼｰﾄNO.3（表-3）59頁'!$F$30</f>
        <v>9</v>
      </c>
      <c r="D21" s="216" t="s">
        <v>65</v>
      </c>
      <c r="E21" s="342">
        <f>'ｼｰﾄNO.4（表-4）60頁'!G20</f>
        <v>159.6</v>
      </c>
      <c r="F21" s="590">
        <f>'ｼｰﾄNO.4（表-4）60頁'!C20/1000</f>
        <v>0.84799999999999998</v>
      </c>
      <c r="G21" s="590">
        <f>'ｼｰﾄNO.4（表-4）60頁'!C20/1000/('ｼｰﾄNO.4（表-4）60頁'!D20/3600)</f>
        <v>29.353846153846153</v>
      </c>
      <c r="H21" s="219">
        <f>-2.71095565/G21-0.09453616*G21+0.00089493*G21^2+3.15403637</f>
        <v>1.057797013060215</v>
      </c>
      <c r="I21" s="592">
        <v>10000</v>
      </c>
      <c r="J21" s="343">
        <f t="shared" ref="J21" si="84">C21*E21*F21*H21/1000000*I21</f>
        <v>12.884678458666194</v>
      </c>
      <c r="K21" s="219">
        <f t="shared" ref="K21" si="85">1501.20185/G21-2.40935*G21+0.02115*G21^2+174.47635</f>
        <v>173.11809443440265</v>
      </c>
      <c r="L21" s="592">
        <v>2891</v>
      </c>
      <c r="M21" s="343">
        <f t="shared" ref="M21" si="86">C21*E21*F21*K21/1000000*L21</f>
        <v>609.6236451624269</v>
      </c>
      <c r="N21" s="219">
        <f>-0.25063622/G21-0.00657231*G21+0.00005332*G21^2+0.29056757</f>
        <v>0.13504963423886224</v>
      </c>
      <c r="O21" s="592">
        <v>840100</v>
      </c>
      <c r="P21" s="343">
        <f t="shared" ref="P21" si="87">C21*E21*F21*N21/1000000*O21</f>
        <v>138.19605501720207</v>
      </c>
      <c r="Q21" s="219">
        <f>0.093055673/G21-0.0002682273*G21+0.00000218*G21^2+0.0173678037</f>
        <v>1.454282967129706E-2</v>
      </c>
      <c r="R21" s="592">
        <v>482200</v>
      </c>
      <c r="S21" s="343">
        <f t="shared" ref="S21" si="88">C21*E21*F21*Q21/1000000*R21</f>
        <v>8.5417601489401367</v>
      </c>
      <c r="T21" s="219">
        <f t="shared" ref="T21" si="89">0.630901162/G21-0.001006579*G21+0.000008915*G21^2+0.0072170055</f>
        <v>6.8445989586344656E-3</v>
      </c>
      <c r="U21" s="592">
        <v>160</v>
      </c>
      <c r="V21" s="343">
        <f t="shared" ref="V21" si="90">C21*E21*F21*T21*U21</f>
        <v>1333.9490381866879</v>
      </c>
      <c r="W21" s="598"/>
      <c r="X21" s="598"/>
      <c r="Y21" s="598"/>
      <c r="Z21" s="595"/>
    </row>
    <row r="22" spans="1:26" ht="15" customHeight="1">
      <c r="A22" s="604"/>
      <c r="B22" s="589"/>
      <c r="C22" s="587"/>
      <c r="D22" s="217" t="s">
        <v>66</v>
      </c>
      <c r="E22" s="344">
        <f>'ｼｰﾄNO.4（表-4）60頁'!G21</f>
        <v>8.4</v>
      </c>
      <c r="F22" s="591"/>
      <c r="G22" s="591"/>
      <c r="H22" s="218">
        <f>12.28697452/G21-0.05907844*G21+0.00051753*G21^2+2.69979197</f>
        <v>1.8301227847474923</v>
      </c>
      <c r="I22" s="593"/>
      <c r="J22" s="345">
        <f t="shared" ref="J22" si="91">C21*E22*F21*H22/1000000*I21</f>
        <v>1.1732697558282004</v>
      </c>
      <c r="K22" s="218">
        <f t="shared" ref="K22" si="92">908.52069/G21-23.49889*G21+0.18396*G21^2+1364.81344</f>
        <v>864.49010891994703</v>
      </c>
      <c r="L22" s="593"/>
      <c r="M22" s="345">
        <f t="shared" ref="M22" si="93">C21*E22*F21*K22/1000000*L21</f>
        <v>160.22333532325607</v>
      </c>
      <c r="N22" s="218">
        <f>9.45345681/G21-0.14325844*G21+0.00124097*G21^2+5.98054622</f>
        <v>3.1666914087323992</v>
      </c>
      <c r="O22" s="593"/>
      <c r="P22" s="345">
        <f t="shared" ref="P22" si="94">C21*E22*F21*N22/1000000*O21</f>
        <v>170.55104167329907</v>
      </c>
      <c r="Q22" s="218">
        <f>0.6037810576/G21-0.0052863845*G21+0.000423961*G21^2+0.3189943526</f>
        <v>0.54969296460646444</v>
      </c>
      <c r="R22" s="593"/>
      <c r="S22" s="345">
        <f t="shared" ref="S22" si="95">C21*E22*F21*Q22/1000000*R21</f>
        <v>16.992803382018796</v>
      </c>
      <c r="T22" s="218">
        <f t="shared" ref="T22" si="96">0.2877659/G21-0.008903887*G21+0.000069093*G21^2+0.516185391</f>
        <v>0.32415927236871178</v>
      </c>
      <c r="U22" s="593"/>
      <c r="V22" s="345">
        <f t="shared" ref="V22" si="97">C21*E22*F21*T22*U21</f>
        <v>3325.0339136690031</v>
      </c>
      <c r="W22" s="598"/>
      <c r="X22" s="598"/>
      <c r="Y22" s="598"/>
      <c r="Z22" s="595"/>
    </row>
    <row r="23" spans="1:26" ht="15" customHeight="1">
      <c r="A23" s="604"/>
      <c r="B23" s="588" t="s">
        <v>53</v>
      </c>
      <c r="C23" s="586">
        <f>'ｼｰﾄNO.3（表-3）59頁'!$F$30</f>
        <v>9</v>
      </c>
      <c r="D23" s="216" t="s">
        <v>65</v>
      </c>
      <c r="E23" s="342">
        <f>'ｼｰﾄNO.4（表-4）60頁'!G22</f>
        <v>746.69999999999993</v>
      </c>
      <c r="F23" s="590">
        <f>'ｼｰﾄNO.4（表-4）60頁'!C22/1000</f>
        <v>0.61699999999999999</v>
      </c>
      <c r="G23" s="590">
        <f>'ｼｰﾄNO.4（表-4）60頁'!C22/1000/('ｼｰﾄNO.4（表-4）60頁'!D22/3600)</f>
        <v>26.442857142857143</v>
      </c>
      <c r="H23" s="219">
        <f>-2.71095565/G23-0.09453616*G23+0.00089493*G23^2+3.15403637</f>
        <v>1.1774660682172056</v>
      </c>
      <c r="I23" s="592">
        <v>10000</v>
      </c>
      <c r="J23" s="343">
        <f t="shared" ref="J23" si="98">C23*E23*F23*H23/1000000*I23</f>
        <v>48.822748596541324</v>
      </c>
      <c r="K23" s="219">
        <f t="shared" ref="K23" si="99">1501.20185/G23-2.40935*G23+0.02115*G23^2+174.47635</f>
        <v>182.32639925899403</v>
      </c>
      <c r="L23" s="592">
        <v>2891</v>
      </c>
      <c r="M23" s="343">
        <f t="shared" ref="M23" si="100">C23*E23*F23*K23/1000000*L23</f>
        <v>2185.6039741878103</v>
      </c>
      <c r="N23" s="219">
        <f>-0.25063622/G23-0.00657231*G23+0.00005332*G23^2+0.29056757</f>
        <v>0.14458116706475485</v>
      </c>
      <c r="O23" s="592">
        <v>840100</v>
      </c>
      <c r="P23" s="343">
        <f t="shared" ref="P23" si="101">C23*E23*F23*N23/1000000*O23</f>
        <v>503.63573278586836</v>
      </c>
      <c r="Q23" s="219">
        <f>0.093055673/G23-0.0002682273*G23+0.00000218*G23^2+0.0173678037</f>
        <v>1.5318540593027376E-2</v>
      </c>
      <c r="R23" s="592">
        <v>482200</v>
      </c>
      <c r="S23" s="343">
        <f t="shared" ref="S23" si="102">C23*E23*F23*Q23/1000000*R23</f>
        <v>30.627984779605498</v>
      </c>
      <c r="T23" s="219">
        <f t="shared" ref="T23" si="103">0.630901162/G23-0.001006579*G23+0.000008915*G23^2+0.0072170055</f>
        <v>1.0692808027495889E-2</v>
      </c>
      <c r="U23" s="592">
        <v>160</v>
      </c>
      <c r="V23" s="343">
        <f t="shared" ref="V23" si="104">C23*E23*F23*T23*U23</f>
        <v>7093.9084151504703</v>
      </c>
      <c r="W23" s="598"/>
      <c r="X23" s="598"/>
      <c r="Y23" s="598"/>
      <c r="Z23" s="595"/>
    </row>
    <row r="24" spans="1:26" ht="15" customHeight="1">
      <c r="A24" s="604"/>
      <c r="B24" s="589"/>
      <c r="C24" s="587"/>
      <c r="D24" s="217" t="s">
        <v>66</v>
      </c>
      <c r="E24" s="344">
        <f>'ｼｰﾄNO.4（表-4）60頁'!G23</f>
        <v>39.300000000000004</v>
      </c>
      <c r="F24" s="591"/>
      <c r="G24" s="591"/>
      <c r="H24" s="218">
        <f>12.28697452/G23-0.05907844*G23+0.00051753*G23^2+2.69979197</f>
        <v>1.9641203577708941</v>
      </c>
      <c r="I24" s="593"/>
      <c r="J24" s="345">
        <f t="shared" ref="J24" si="105">C23*E24*F23*H24/1000000*I23</f>
        <v>4.2863568162537984</v>
      </c>
      <c r="K24" s="218">
        <f t="shared" ref="K24" si="106">908.52069/G23-23.49889*G23+0.18396*G23^2+1364.81344</f>
        <v>906.42291010988652</v>
      </c>
      <c r="L24" s="593"/>
      <c r="M24" s="345">
        <f t="shared" ref="M24" si="107">C23*E24*F23*K24/1000000*L23</f>
        <v>571.87246916649019</v>
      </c>
      <c r="N24" s="218">
        <f>9.45345681/G23-0.14325844*G23+0.00124097*G23^2+5.98054622</f>
        <v>3.4176057447057486</v>
      </c>
      <c r="O24" s="593"/>
      <c r="P24" s="345">
        <f t="shared" ref="P24" si="108">C23*E24*F23*N24/1000000*O23</f>
        <v>626.57515408926042</v>
      </c>
      <c r="Q24" s="218">
        <f>0.6037810576/G23-0.0052863845*G23+0.000423961*G23^2+0.3189943526</f>
        <v>0.49848467025916887</v>
      </c>
      <c r="R24" s="593"/>
      <c r="S24" s="345">
        <f t="shared" ref="S24" si="109">C23*E24*F23*Q24/1000000*R23</f>
        <v>52.456491155608695</v>
      </c>
      <c r="T24" s="218">
        <f t="shared" ref="T24" si="110">0.2877659/G23-0.008903887*G23+0.000069093*G23^2+0.516185391</f>
        <v>0.33993526781315708</v>
      </c>
      <c r="U24" s="593"/>
      <c r="V24" s="345">
        <f t="shared" ref="V24" si="111">C23*E24*F23*T24*U23</f>
        <v>11869.609489142711</v>
      </c>
      <c r="W24" s="598"/>
      <c r="X24" s="598"/>
      <c r="Y24" s="598"/>
      <c r="Z24" s="595"/>
    </row>
    <row r="25" spans="1:26" ht="15" customHeight="1">
      <c r="A25" s="604"/>
      <c r="B25" s="588" t="s">
        <v>54</v>
      </c>
      <c r="C25" s="586">
        <f>'ｼｰﾄNO.3（表-3）59頁'!$F$30</f>
        <v>9</v>
      </c>
      <c r="D25" s="216" t="s">
        <v>65</v>
      </c>
      <c r="E25" s="342">
        <f>'ｼｰﾄNO.4（表-4）60頁'!G24</f>
        <v>139.65</v>
      </c>
      <c r="F25" s="590">
        <f>'ｼｰﾄNO.4（表-4）60頁'!C24/1000</f>
        <v>0.82399999999999995</v>
      </c>
      <c r="G25" s="590">
        <f>'ｼｰﾄNO.4（表-4）60頁'!C24/1000/('ｼｰﾄNO.4（表-4）60頁'!D24/3600)</f>
        <v>26.724324324324321</v>
      </c>
      <c r="H25" s="219">
        <f>-2.71095565/G25-0.09453616*G25+0.00089493*G25^2+3.15403637</f>
        <v>1.1653294846039817</v>
      </c>
      <c r="I25" s="592">
        <v>10000</v>
      </c>
      <c r="J25" s="343">
        <f t="shared" ref="J25" si="112">C25*E25*F25*H25/1000000*I25</f>
        <v>12.06866954885</v>
      </c>
      <c r="K25" s="219">
        <f t="shared" ref="K25" si="113">1501.20185/G25-2.40935*G25+0.02115*G25^2+174.47635</f>
        <v>181.36682025284708</v>
      </c>
      <c r="L25" s="592">
        <v>2891</v>
      </c>
      <c r="M25" s="343">
        <f t="shared" ref="M25" si="114">C25*E25*F25*K25/1000000*L25</f>
        <v>543.02095826227026</v>
      </c>
      <c r="N25" s="219">
        <f>-0.25063622/G25-0.00657231*G25+0.00005332*G25^2+0.29056757</f>
        <v>0.14362903046607486</v>
      </c>
      <c r="O25" s="592">
        <v>840100</v>
      </c>
      <c r="P25" s="343">
        <f t="shared" ref="P25" si="115">C25*E25*F25*N25/1000000*O25</f>
        <v>124.96369976698863</v>
      </c>
      <c r="Q25" s="219">
        <f>0.093055673/G25-0.0002682273*G25+0.00000218*G25^2+0.0173678037</f>
        <v>1.5238602436619324E-2</v>
      </c>
      <c r="R25" s="592">
        <v>482200</v>
      </c>
      <c r="S25" s="343">
        <f t="shared" ref="S25" si="116">C25*E25*F25*Q25/1000000*R25</f>
        <v>7.609971074319442</v>
      </c>
      <c r="T25" s="219">
        <f t="shared" ref="T25" si="117">0.630901162/G25-0.001006579*G25+0.000008915*G25^2+0.0072170055</f>
        <v>1.029161112453738E-2</v>
      </c>
      <c r="U25" s="592">
        <v>160</v>
      </c>
      <c r="V25" s="343">
        <f t="shared" ref="V25" si="118">C25*E25*F25*T25*U25</f>
        <v>1705.3519084967747</v>
      </c>
      <c r="W25" s="598"/>
      <c r="X25" s="598"/>
      <c r="Y25" s="598"/>
      <c r="Z25" s="595"/>
    </row>
    <row r="26" spans="1:26" ht="15" customHeight="1">
      <c r="A26" s="604"/>
      <c r="B26" s="589"/>
      <c r="C26" s="587"/>
      <c r="D26" s="217" t="s">
        <v>66</v>
      </c>
      <c r="E26" s="344">
        <f>'ｼｰﾄNO.4（表-4）60頁'!G25</f>
        <v>7.3500000000000005</v>
      </c>
      <c r="F26" s="591"/>
      <c r="G26" s="591"/>
      <c r="H26" s="218">
        <f>12.28697452/G25-0.05907844*G25+0.00051753*G25^2+2.69979197</f>
        <v>1.9503425289917296</v>
      </c>
      <c r="I26" s="593"/>
      <c r="J26" s="345">
        <f t="shared" ref="J26" si="119">C25*E26*F25*H26/1000000*I25</f>
        <v>1.0630849043326962</v>
      </c>
      <c r="K26" s="218">
        <f t="shared" ref="K26" si="120">908.52069/G25-23.49889*G25+0.18396*G25^2+1364.81344</f>
        <v>902.1998057116283</v>
      </c>
      <c r="L26" s="593"/>
      <c r="M26" s="345">
        <f t="shared" ref="M26" si="121">C25*E26*F25*K26/1000000*L25</f>
        <v>142.16997306127249</v>
      </c>
      <c r="N26" s="218">
        <f>9.45345681/G25-0.14325844*G25+0.00124097*G25^2+5.98054622</f>
        <v>3.3920887517932119</v>
      </c>
      <c r="O26" s="593"/>
      <c r="P26" s="345">
        <f t="shared" ref="P26" si="122">C25*E26*F25*N26/1000000*O25</f>
        <v>155.32996761336943</v>
      </c>
      <c r="Q26" s="218">
        <f>0.6037810576/G25-0.0052863845*G25+0.000423961*G25^2+0.3189943526</f>
        <v>0.50310073787874554</v>
      </c>
      <c r="R26" s="593"/>
      <c r="S26" s="345">
        <f t="shared" ref="S26" si="123">C25*E26*F25*Q26/1000000*R25</f>
        <v>13.223280804715765</v>
      </c>
      <c r="T26" s="218">
        <f t="shared" ref="T26" si="124">0.2877659/G25-0.008903887*G25+0.000069093*G25^2+0.516185391</f>
        <v>0.33834846213943109</v>
      </c>
      <c r="U26" s="593"/>
      <c r="V26" s="345">
        <f t="shared" ref="V26" si="125">C25*E26*F25*T26*U25</f>
        <v>2950.8100215858008</v>
      </c>
      <c r="W26" s="598"/>
      <c r="X26" s="598"/>
      <c r="Y26" s="598"/>
      <c r="Z26" s="595"/>
    </row>
    <row r="27" spans="1:26" ht="15" customHeight="1">
      <c r="A27" s="604"/>
      <c r="B27" s="588" t="s">
        <v>55</v>
      </c>
      <c r="C27" s="586">
        <f>'ｼｰﾄNO.3（表-3）59頁'!$F$30</f>
        <v>9</v>
      </c>
      <c r="D27" s="216" t="s">
        <v>65</v>
      </c>
      <c r="E27" s="342">
        <f>'ｼｰﾄNO.4（表-4）60頁'!G26</f>
        <v>41.8</v>
      </c>
      <c r="F27" s="590">
        <f>'ｼｰﾄNO.4（表-4）60頁'!C26/1000</f>
        <v>0.91</v>
      </c>
      <c r="G27" s="590">
        <f>'ｼｰﾄNO.4（表-4）60頁'!C26/1000/('ｼｰﾄNO.4（表-4）60頁'!D26/3600)</f>
        <v>24.266666666666669</v>
      </c>
      <c r="H27" s="219">
        <f>-2.71095565/G27-0.09453616*G27+0.00089493*G27^2+3.15403637</f>
        <v>1.2752421054428575</v>
      </c>
      <c r="I27" s="592">
        <v>10000</v>
      </c>
      <c r="J27" s="343">
        <f t="shared" ref="J27" si="126">C27*E27*F27*H27/1000000*I27</f>
        <v>4.3656893286151872</v>
      </c>
      <c r="K27" s="219">
        <f t="shared" ref="K27" si="127">1501.20185/G27-2.40935*G27+0.02115*G27^2+174.47635</f>
        <v>190.32679426556774</v>
      </c>
      <c r="L27" s="592">
        <v>2891</v>
      </c>
      <c r="M27" s="343">
        <f t="shared" ref="M27" si="128">C27*E27*F27*K27/1000000*L27</f>
        <v>188.36846896852052</v>
      </c>
      <c r="N27" s="219">
        <f>-0.25063622/G27-0.00657231*G27+0.00005332*G27^2+0.29056757</f>
        <v>0.15214970598510377</v>
      </c>
      <c r="O27" s="592">
        <v>840100</v>
      </c>
      <c r="P27" s="343">
        <f t="shared" ref="P27" si="129">C27*E27*F27*N27/1000000*O27</f>
        <v>43.758485826400644</v>
      </c>
      <c r="Q27" s="219">
        <f>0.093055673/G27-0.0002682273*G27+0.00000218*G27^2+0.0173678037</f>
        <v>1.597727204167277E-2</v>
      </c>
      <c r="R27" s="592">
        <v>482200</v>
      </c>
      <c r="S27" s="343">
        <f t="shared" ref="S27" si="130">C27*E27*F27*Q27/1000000*R27</f>
        <v>2.6374851281230018</v>
      </c>
      <c r="T27" s="219">
        <f t="shared" ref="T27" si="131">0.630901162/G27-0.001006579*G27+0.000008915*G27^2+0.0072170055</f>
        <v>1.4039148647130642E-2</v>
      </c>
      <c r="U27" s="592">
        <v>160</v>
      </c>
      <c r="V27" s="343">
        <f t="shared" ref="V27" si="132">C27*E27*F27*T27*U27</f>
        <v>768.99043618495966</v>
      </c>
      <c r="W27" s="598"/>
      <c r="X27" s="598"/>
      <c r="Y27" s="598"/>
      <c r="Z27" s="595"/>
    </row>
    <row r="28" spans="1:26" ht="15" customHeight="1">
      <c r="A28" s="604"/>
      <c r="B28" s="589"/>
      <c r="C28" s="587"/>
      <c r="D28" s="217" t="s">
        <v>66</v>
      </c>
      <c r="E28" s="344">
        <f>'ｼｰﾄNO.4（表-4）60頁'!G27</f>
        <v>2.2000000000000002</v>
      </c>
      <c r="F28" s="591"/>
      <c r="G28" s="591"/>
      <c r="H28" s="218">
        <f>12.28697452/G27-0.05907844*G27+0.00051753*G27^2+2.69979197</f>
        <v>2.0772449930490842</v>
      </c>
      <c r="I28" s="593"/>
      <c r="J28" s="345">
        <f t="shared" ref="J28" si="133">C27*E28*F27*H28/1000000*I27</f>
        <v>0.37427800284758395</v>
      </c>
      <c r="K28" s="218">
        <f t="shared" ref="K28" si="134">908.52069/G27-23.49889*G27+0.18396*G27^2+1364.81344</f>
        <v>940.34147835641011</v>
      </c>
      <c r="L28" s="593"/>
      <c r="M28" s="345">
        <f t="shared" ref="M28" si="135">C27*E28*F27*K28/1000000*L27</f>
        <v>48.982423340561589</v>
      </c>
      <c r="N28" s="218">
        <f>9.45345681/G27-0.14325844*G27+0.00124097*G27^2+5.98054622</f>
        <v>3.6244783199735044</v>
      </c>
      <c r="O28" s="593"/>
      <c r="P28" s="345">
        <f t="shared" ref="P28" si="136">C27*E28*F27*N28/1000000*O27</f>
        <v>54.863444895234323</v>
      </c>
      <c r="Q28" s="218">
        <f>0.6037810576/G27-0.0052863845*G27+0.000423961*G27^2+0.3189943526</f>
        <v>0.46525089474290598</v>
      </c>
      <c r="R28" s="593"/>
      <c r="S28" s="345">
        <f t="shared" ref="S28" si="137">C27*E28*F27*Q28/1000000*R27</f>
        <v>4.0422298576765376</v>
      </c>
      <c r="T28" s="218">
        <f t="shared" ref="T28" si="138">0.2877659/G27-0.008903887*G27+0.000069093*G27^2+0.516185391</f>
        <v>0.35266308970344329</v>
      </c>
      <c r="U28" s="593"/>
      <c r="V28" s="345">
        <f t="shared" ref="V28" si="139">C27*E28*F27*T28*U27</f>
        <v>1016.6853680442626</v>
      </c>
      <c r="W28" s="598"/>
      <c r="X28" s="598"/>
      <c r="Y28" s="598"/>
      <c r="Z28" s="595"/>
    </row>
    <row r="29" spans="1:26" ht="15" customHeight="1">
      <c r="A29" s="604"/>
      <c r="B29" s="588" t="s">
        <v>56</v>
      </c>
      <c r="C29" s="586">
        <f>'ｼｰﾄNO.3（表-3）59頁'!$F$30</f>
        <v>9</v>
      </c>
      <c r="D29" s="216" t="s">
        <v>65</v>
      </c>
      <c r="E29" s="342">
        <f>'ｼｰﾄNO.4（表-4）60頁'!G28</f>
        <v>748.59999999999991</v>
      </c>
      <c r="F29" s="590">
        <f>'ｼｰﾄNO.4（表-4）60頁'!C28/1000</f>
        <v>0.61699999999999999</v>
      </c>
      <c r="G29" s="590">
        <f>'ｼｰﾄNO.4（表-4）60頁'!C28/1000/('ｼｰﾄNO.4（表-4）60頁'!D28/3600)</f>
        <v>26.442857142857143</v>
      </c>
      <c r="H29" s="219">
        <f>-2.71095565/G29-0.09453616*G29+0.00089493*G29^2+3.15403637</f>
        <v>1.1774660682172056</v>
      </c>
      <c r="I29" s="592">
        <v>10000</v>
      </c>
      <c r="J29" s="343">
        <f t="shared" ref="J29" si="140">C29*E29*F29*H29/1000000*I29</f>
        <v>48.946979509000734</v>
      </c>
      <c r="K29" s="219">
        <f t="shared" ref="K29" si="141">1501.20185/G29-2.40935*G29+0.02115*G29^2+174.47635</f>
        <v>182.32639925899403</v>
      </c>
      <c r="L29" s="592">
        <v>2891</v>
      </c>
      <c r="M29" s="343">
        <f t="shared" ref="M29" si="142">C29*E29*F29*K29/1000000*L29</f>
        <v>2191.1653074554638</v>
      </c>
      <c r="N29" s="219">
        <f>-0.25063622/G29-0.00657231*G29+0.00005332*G29^2+0.29056757</f>
        <v>0.14458116706475485</v>
      </c>
      <c r="O29" s="592">
        <v>840100</v>
      </c>
      <c r="P29" s="343">
        <f t="shared" ref="P29" si="143">C29*E29*F29*N29/1000000*O29</f>
        <v>504.91724864537451</v>
      </c>
      <c r="Q29" s="219">
        <f>0.093055673/G29-0.0002682273*G29+0.00000218*G29^2+0.0173678037</f>
        <v>1.5318540593027376E-2</v>
      </c>
      <c r="R29" s="592">
        <v>482200</v>
      </c>
      <c r="S29" s="343">
        <f t="shared" ref="S29" si="144">C29*E29*F29*Q29/1000000*R29</f>
        <v>30.705918583115949</v>
      </c>
      <c r="T29" s="219">
        <f t="shared" ref="T29" si="145">0.630901162/G29-0.001006579*G29+0.000008915*G29^2+0.0072170055</f>
        <v>1.0692808027495889E-2</v>
      </c>
      <c r="U29" s="592">
        <v>160</v>
      </c>
      <c r="V29" s="343">
        <f t="shared" ref="V29" si="146">C29*E29*F29*T29*U29</f>
        <v>7111.9590726953829</v>
      </c>
      <c r="W29" s="598"/>
      <c r="X29" s="598"/>
      <c r="Y29" s="598"/>
      <c r="Z29" s="595"/>
    </row>
    <row r="30" spans="1:26" ht="15" customHeight="1">
      <c r="A30" s="605"/>
      <c r="B30" s="589"/>
      <c r="C30" s="587"/>
      <c r="D30" s="217" t="s">
        <v>66</v>
      </c>
      <c r="E30" s="344">
        <f>'ｼｰﾄNO.4（表-4）60頁'!G29</f>
        <v>39.400000000000006</v>
      </c>
      <c r="F30" s="591"/>
      <c r="G30" s="591"/>
      <c r="H30" s="218">
        <f>12.28697452/G29-0.05907844*G29+0.00051753*G29^2+2.69979197</f>
        <v>1.9641203577708941</v>
      </c>
      <c r="I30" s="593"/>
      <c r="J30" s="345">
        <f t="shared" ref="J30" si="147">C29*E30*F29*H30/1000000*I29</f>
        <v>4.2972635766004998</v>
      </c>
      <c r="K30" s="218">
        <f t="shared" ref="K30" si="148">908.52069/G29-23.49889*G29+0.18396*G29^2+1364.81344</f>
        <v>906.42291010988652</v>
      </c>
      <c r="L30" s="593"/>
      <c r="M30" s="345">
        <f t="shared" ref="M30" si="149">C29*E30*F29*K30/1000000*L29</f>
        <v>573.32761539846592</v>
      </c>
      <c r="N30" s="218">
        <f>9.45345681/G29-0.14325844*G29+0.00124097*G29^2+5.98054622</f>
        <v>3.4176057447057486</v>
      </c>
      <c r="O30" s="593"/>
      <c r="P30" s="345">
        <f t="shared" ref="P30" si="150">C29*E30*F29*N30/1000000*O29</f>
        <v>628.16949290373691</v>
      </c>
      <c r="Q30" s="218">
        <f>0.6037810576/G29-0.0052863845*G29+0.000423961*G29^2+0.3189943526</f>
        <v>0.49848467025916887</v>
      </c>
      <c r="R30" s="593"/>
      <c r="S30" s="345">
        <f t="shared" ref="S30" si="151">C29*E30*F29*Q30/1000000*R29</f>
        <v>52.589968232340517</v>
      </c>
      <c r="T30" s="218">
        <f t="shared" ref="T30" si="152">0.2877659/G29-0.008903887*G29+0.000069093*G29^2+0.516185391</f>
        <v>0.33993526781315708</v>
      </c>
      <c r="U30" s="593"/>
      <c r="V30" s="345">
        <f t="shared" ref="V30" si="153">C29*E30*F29*T30*U29</f>
        <v>11899.812057817373</v>
      </c>
      <c r="W30" s="599"/>
      <c r="X30" s="599"/>
      <c r="Y30" s="599"/>
      <c r="Z30" s="595"/>
    </row>
    <row r="31" spans="1:26" ht="15" customHeight="1">
      <c r="A31" s="603" t="s">
        <v>934</v>
      </c>
      <c r="B31" s="588" t="s">
        <v>45</v>
      </c>
      <c r="C31" s="586">
        <f>'ｼｰﾄNO.3（表-3）59頁'!$F$30</f>
        <v>9</v>
      </c>
      <c r="D31" s="216" t="s">
        <v>65</v>
      </c>
      <c r="E31" s="342">
        <f>'ｼｰﾄNO.4（表-4）60頁'!G33</f>
        <v>772.34999999999991</v>
      </c>
      <c r="F31" s="590">
        <f>'ｼｰﾄNO.4（表-4）60頁'!C33/1000</f>
        <v>1.054</v>
      </c>
      <c r="G31" s="590">
        <f>'ｼｰﾄNO.4（表-4）60頁'!C33/1000/('ｼｰﾄNO.4（表-4）60頁'!D33/3600)</f>
        <v>29.413953488372094</v>
      </c>
      <c r="H31" s="219">
        <f>-2.71095565/G31-0.09453616*G31+0.00089493*G31^2+3.15403637</f>
        <v>1.0554646514177595</v>
      </c>
      <c r="I31" s="592">
        <v>10000</v>
      </c>
      <c r="J31" s="343">
        <f>C31*E31*F31*H31/1000000*I31</f>
        <v>77.32874539734496</v>
      </c>
      <c r="K31" s="219">
        <f>1501.20185/G31-2.40935*G31+0.02115*G31^2+174.47635</f>
        <v>172.94347691075419</v>
      </c>
      <c r="L31" s="592">
        <v>2891</v>
      </c>
      <c r="M31" s="343">
        <f>C31*E31*F31*K31/1000000*L31</f>
        <v>3663.1065287020383</v>
      </c>
      <c r="N31" s="219">
        <f>-0.25063622/G31-0.00657231*G31+0.00005332*G31^2+0.29056757</f>
        <v>0.13486038477096629</v>
      </c>
      <c r="O31" s="592">
        <v>840100</v>
      </c>
      <c r="P31" s="343">
        <f>C31*E31*F31*N31/1000000*O31</f>
        <v>830.06604792560131</v>
      </c>
      <c r="Q31" s="219">
        <f>0.093055673/G31-0.0002682273*G31+0.00000218*G31^2+0.0173678037</f>
        <v>1.4527929658914706E-2</v>
      </c>
      <c r="R31" s="592">
        <v>482200</v>
      </c>
      <c r="S31" s="343">
        <f>C31*E31*F31*Q31/1000000*R31</f>
        <v>51.324911083668759</v>
      </c>
      <c r="T31" s="219">
        <f>0.630901162/G31-0.001006579*G31+0.000008915*G31^2+0.0072170055</f>
        <v>6.7716664940150866E-3</v>
      </c>
      <c r="U31" s="592">
        <v>160</v>
      </c>
      <c r="V31" s="343">
        <f>C31*E31*F31*T31*U31</f>
        <v>7938.031440890577</v>
      </c>
      <c r="W31" s="597">
        <f>SUM(J31:J54)+SUM(M31:M54)+SUM(P31:P54)+SUM(S31:S54)+SUM(V31:V54)</f>
        <v>179276.56575148969</v>
      </c>
      <c r="X31" s="597">
        <f>'ｼｰﾄNO.3（表-3）59頁'!F36</f>
        <v>12</v>
      </c>
      <c r="Y31" s="597">
        <f>W31*X31</f>
        <v>2151318.7890178761</v>
      </c>
      <c r="Z31" s="595"/>
    </row>
    <row r="32" spans="1:26" ht="15" customHeight="1">
      <c r="A32" s="604"/>
      <c r="B32" s="589"/>
      <c r="C32" s="587"/>
      <c r="D32" s="217" t="s">
        <v>66</v>
      </c>
      <c r="E32" s="344">
        <f>'ｼｰﾄNO.4（表-4）60頁'!G34</f>
        <v>40.650000000000006</v>
      </c>
      <c r="F32" s="591"/>
      <c r="G32" s="591"/>
      <c r="H32" s="218">
        <f>12.28697452/G31-0.05907844*G31+0.00051753*G31^2+2.69979197</f>
        <v>1.8275444776395025</v>
      </c>
      <c r="I32" s="593"/>
      <c r="J32" s="345">
        <f>C31*E32*F31*H32/1000000*I31</f>
        <v>7.0471193309021025</v>
      </c>
      <c r="K32" s="218">
        <f>908.52069/G31-23.49889*G31+0.18396*G31^2+1364.81344</f>
        <v>863.66422155382952</v>
      </c>
      <c r="L32" s="593"/>
      <c r="M32" s="345">
        <f>C31*E32*F31*K32/1000000*L31</f>
        <v>962.80135023013474</v>
      </c>
      <c r="N32" s="218">
        <f>9.45345681/G31-0.14325844*G31+0.00124097*G31^2+5.98054622</f>
        <v>3.1618059863109744</v>
      </c>
      <c r="O32" s="593"/>
      <c r="P32" s="345">
        <f>C31*E32*F31*N32/1000000*O31</f>
        <v>1024.2591972048358</v>
      </c>
      <c r="Q32" s="218">
        <f>0.6037810576/G31-0.0052863845*G31+0.000423961*G31^2+0.3189943526</f>
        <v>0.55083077087724097</v>
      </c>
      <c r="R32" s="593"/>
      <c r="S32" s="345">
        <f>C31*E32*F31*Q32/1000000*R31</f>
        <v>102.4210135822039</v>
      </c>
      <c r="T32" s="218">
        <f>0.2877659/G31-0.008903887*G31+0.000069093*G31^2+0.516185391</f>
        <v>0.323848112784486</v>
      </c>
      <c r="U32" s="593"/>
      <c r="V32" s="345">
        <f>C31*E32*F31*T32*U31</f>
        <v>19980.438878970119</v>
      </c>
      <c r="W32" s="598"/>
      <c r="X32" s="598"/>
      <c r="Y32" s="598"/>
      <c r="Z32" s="595"/>
    </row>
    <row r="33" spans="1:26" ht="15" customHeight="1">
      <c r="A33" s="604"/>
      <c r="B33" s="588" t="s">
        <v>46</v>
      </c>
      <c r="C33" s="586">
        <f>'ｼｰﾄNO.3（表-3）59頁'!$F$30</f>
        <v>9</v>
      </c>
      <c r="D33" s="216" t="s">
        <v>65</v>
      </c>
      <c r="E33" s="342">
        <f>'ｼｰﾄNO.4（表-4）60頁'!G35</f>
        <v>152</v>
      </c>
      <c r="F33" s="590">
        <f>'ｼｰﾄNO.4（表-4）60頁'!C35/1000</f>
        <v>0.76100000000000001</v>
      </c>
      <c r="G33" s="590">
        <f>'ｼｰﾄNO.4（表-4）60頁'!C35/1000/('ｼｰﾄNO.4（表-4）60頁'!D35/3600)</f>
        <v>26.598058252427183</v>
      </c>
      <c r="H33" s="219">
        <f>-2.71095565/G33-0.09453616*G33+0.00089493*G33^2+3.15403637</f>
        <v>1.1707592402727975</v>
      </c>
      <c r="I33" s="592">
        <v>10000</v>
      </c>
      <c r="J33" s="343">
        <f t="shared" ref="J33" si="154">C33*E33*F33*H33/1000000*I33</f>
        <v>12.188165655675153</v>
      </c>
      <c r="K33" s="219">
        <f t="shared" ref="K33" si="155">1501.20185/G33-2.40935*G33+0.02115*G33^2+174.47635</f>
        <v>181.79530741734516</v>
      </c>
      <c r="L33" s="592">
        <v>2891</v>
      </c>
      <c r="M33" s="343">
        <f t="shared" ref="M33" si="156">C33*E33*F33*K33/1000000*L33</f>
        <v>547.14384069824996</v>
      </c>
      <c r="N33" s="219">
        <f>-0.25063622/G33-0.00657231*G33+0.00005332*G33^2+0.29056757</f>
        <v>0.1440553750066611</v>
      </c>
      <c r="O33" s="592">
        <v>840100</v>
      </c>
      <c r="P33" s="343">
        <f t="shared" ref="P33" si="157">C33*E33*F33*N33/1000000*O33</f>
        <v>125.98858728954899</v>
      </c>
      <c r="Q33" s="219">
        <f>0.093055673/G33-0.0002682273*G33+0.00000218*G33^2+0.0173678037</f>
        <v>1.52743229233389E-2</v>
      </c>
      <c r="R33" s="592">
        <v>482200</v>
      </c>
      <c r="S33" s="343">
        <f t="shared" ref="S33" si="158">C33*E33*F33*Q33/1000000*R33</f>
        <v>7.6676084660616661</v>
      </c>
      <c r="T33" s="219">
        <f t="shared" ref="T33" si="159">0.630901162/G33-0.001006579*G33+0.000008915*G33^2+0.0072170055</f>
        <v>1.0470755424911396E-2</v>
      </c>
      <c r="U33" s="592">
        <v>160</v>
      </c>
      <c r="V33" s="343">
        <f t="shared" ref="V33" si="160">C33*E33*F33*T33*U33</f>
        <v>1744.0894389749053</v>
      </c>
      <c r="W33" s="598"/>
      <c r="X33" s="598"/>
      <c r="Y33" s="598"/>
      <c r="Z33" s="595"/>
    </row>
    <row r="34" spans="1:26" ht="15" customHeight="1">
      <c r="A34" s="604"/>
      <c r="B34" s="589"/>
      <c r="C34" s="587"/>
      <c r="D34" s="217" t="s">
        <v>66</v>
      </c>
      <c r="E34" s="344">
        <f>'ｼｰﾄNO.4（表-4）60頁'!G36</f>
        <v>8</v>
      </c>
      <c r="F34" s="591"/>
      <c r="G34" s="591"/>
      <c r="H34" s="218">
        <f>12.28697452/G33-0.05907844*G33+0.00051753*G33^2+2.69979197</f>
        <v>1.956500305599318</v>
      </c>
      <c r="I34" s="593"/>
      <c r="J34" s="345">
        <f t="shared" ref="J34" si="161">C33*E34*F33*H34/1000000*I33</f>
        <v>1.0720056474439785</v>
      </c>
      <c r="K34" s="218">
        <f t="shared" ref="K34" si="162">908.52069/G33-23.49889*G33+0.18396*G33^2+1364.81344</f>
        <v>904.08973654087185</v>
      </c>
      <c r="L34" s="593"/>
      <c r="M34" s="345">
        <f t="shared" ref="M34" si="163">C33*E34*F33*K34/1000000*L33</f>
        <v>143.21113408558668</v>
      </c>
      <c r="N34" s="218">
        <f>9.45345681/G33-0.14325844*G33+0.00124097*G33^2+5.98054622</f>
        <v>3.4035014902498837</v>
      </c>
      <c r="O34" s="593"/>
      <c r="P34" s="345">
        <f t="shared" ref="P34" si="164">C33*E34*F33*N34/1000000*O33</f>
        <v>156.66575753453355</v>
      </c>
      <c r="Q34" s="218">
        <f>0.6037810576/G33-0.0052863845*G33+0.000423961*G33^2+0.3189943526</f>
        <v>0.50102103396920805</v>
      </c>
      <c r="R34" s="593"/>
      <c r="S34" s="345">
        <f t="shared" ref="S34" si="165">C33*E34*F33*Q34/1000000*R33</f>
        <v>13.237327634640737</v>
      </c>
      <c r="T34" s="218">
        <f t="shared" ref="T34" si="166">0.2877659/G33-0.008903887*G33+0.000069093*G33^2+0.516185391</f>
        <v>0.3390586485546051</v>
      </c>
      <c r="U34" s="593"/>
      <c r="V34" s="345">
        <f t="shared" ref="V34" si="167">C33*E34*F33*T34*U33</f>
        <v>2972.4322354566275</v>
      </c>
      <c r="W34" s="598"/>
      <c r="X34" s="598"/>
      <c r="Y34" s="598"/>
      <c r="Z34" s="595"/>
    </row>
    <row r="35" spans="1:26" ht="15" customHeight="1">
      <c r="A35" s="604"/>
      <c r="B35" s="588" t="s">
        <v>47</v>
      </c>
      <c r="C35" s="586">
        <f>'ｼｰﾄNO.3（表-3）59頁'!$F$30</f>
        <v>9</v>
      </c>
      <c r="D35" s="216" t="s">
        <v>65</v>
      </c>
      <c r="E35" s="342">
        <f>'ｼｰﾄNO.4（表-4）60頁'!G37</f>
        <v>38</v>
      </c>
      <c r="F35" s="590">
        <f>'ｼｰﾄNO.4（表-4）60頁'!C37/1000</f>
        <v>0.82399999999999995</v>
      </c>
      <c r="G35" s="590">
        <f>'ｼｰﾄNO.4（表-4）60頁'!C37/1000/('ｼｰﾄNO.4（表-4）60頁'!D37/3600)</f>
        <v>20.179591836734694</v>
      </c>
      <c r="H35" s="219">
        <f>-2.71095565/G35-0.09453616*G35+0.00089493*G35^2+3.15403637</f>
        <v>1.4764235455645425</v>
      </c>
      <c r="I35" s="592">
        <v>10000</v>
      </c>
      <c r="J35" s="343">
        <f t="shared" ref="J35" si="168">C35*E35*F35*H35/1000000*I35</f>
        <v>4.1606796652845262</v>
      </c>
      <c r="K35" s="219">
        <f t="shared" ref="K35" si="169">1501.20185/G35-2.40935*G35+0.02115*G35^2+174.47635</f>
        <v>208.86134922585131</v>
      </c>
      <c r="L35" s="592">
        <v>2891</v>
      </c>
      <c r="M35" s="343">
        <f t="shared" ref="M35" si="170">C35*E35*F35*K35/1000000*L35</f>
        <v>170.16078820572849</v>
      </c>
      <c r="N35" s="219">
        <f>-0.25063622/G35-0.00657231*G35+0.00005332*G35^2+0.29056757</f>
        <v>0.16723350804930318</v>
      </c>
      <c r="O35" s="592">
        <v>840100</v>
      </c>
      <c r="P35" s="343">
        <f t="shared" ref="P35" si="171">C35*E35*F35*N35/1000000*O35</f>
        <v>39.592014740584375</v>
      </c>
      <c r="Q35" s="219">
        <f>0.093055673/G35-0.0002682273*G35+0.00000218*G35^2+0.0173678037</f>
        <v>1.7454192368000755E-2</v>
      </c>
      <c r="R35" s="592">
        <v>482200</v>
      </c>
      <c r="S35" s="343">
        <f t="shared" ref="S35" si="172">C35*E35*F35*Q35/1000000*R35</f>
        <v>2.3718121088581987</v>
      </c>
      <c r="T35" s="219">
        <f t="shared" ref="T35" si="173">0.630901162/G35-0.001006579*G35+0.000008915*G35^2+0.0072170055</f>
        <v>2.1799299406743716E-2</v>
      </c>
      <c r="U35" s="592">
        <v>160</v>
      </c>
      <c r="V35" s="343">
        <f t="shared" ref="V35" si="174">C35*E35*F35*T35*U35</f>
        <v>982.91471475450123</v>
      </c>
      <c r="W35" s="598"/>
      <c r="X35" s="598"/>
      <c r="Y35" s="598"/>
      <c r="Z35" s="595"/>
    </row>
    <row r="36" spans="1:26" ht="15" customHeight="1">
      <c r="A36" s="604"/>
      <c r="B36" s="589"/>
      <c r="C36" s="587"/>
      <c r="D36" s="217" t="s">
        <v>66</v>
      </c>
      <c r="E36" s="344">
        <f>'ｼｰﾄNO.4（表-4）60頁'!G38</f>
        <v>2</v>
      </c>
      <c r="F36" s="591"/>
      <c r="G36" s="591"/>
      <c r="H36" s="218">
        <f>12.28697452/G35-0.05907844*G35+0.00051753*G35^2+2.69979197</f>
        <v>2.3272408441495442</v>
      </c>
      <c r="I36" s="593"/>
      <c r="J36" s="345">
        <f t="shared" ref="J36" si="175">C35*E36*F35*H36/1000000*I35</f>
        <v>0.34517636200426044</v>
      </c>
      <c r="K36" s="218">
        <f t="shared" ref="K36" si="176">908.52069/G35-23.49889*G35+0.18396*G35^2+1364.81344</f>
        <v>1010.5486305528241</v>
      </c>
      <c r="L36" s="593"/>
      <c r="M36" s="345">
        <f t="shared" ref="M36" si="177">C35*E36*F35*K36/1000000*L35</f>
        <v>43.331630020647275</v>
      </c>
      <c r="N36" s="218">
        <f>9.45345681/G35-0.14325844*G35+0.00124097*G35^2+5.98054622</f>
        <v>4.063458327374196</v>
      </c>
      <c r="O36" s="593"/>
      <c r="P36" s="345">
        <f t="shared" ref="P36" si="178">C35*E36*F35*N36/1000000*O35</f>
        <v>50.632166607146978</v>
      </c>
      <c r="Q36" s="218">
        <f>0.6037810576/G35-0.0052863845*G35+0.000423961*G35^2+0.3189943526</f>
        <v>0.41488132267572286</v>
      </c>
      <c r="R36" s="593"/>
      <c r="S36" s="345">
        <f t="shared" ref="S36" si="179">C35*E36*F35*Q36/1000000*R35</f>
        <v>2.9672272369160719</v>
      </c>
      <c r="T36" s="218">
        <f t="shared" ref="T36" si="180">0.2877659/G35-0.008903887*G35+0.000069093*G35^2+0.516185391</f>
        <v>0.37890459943378835</v>
      </c>
      <c r="U36" s="593"/>
      <c r="V36" s="345">
        <f t="shared" ref="V36" si="181">C35*E36*F35*T36*U35</f>
        <v>899.1860830083117</v>
      </c>
      <c r="W36" s="598"/>
      <c r="X36" s="598"/>
      <c r="Y36" s="598"/>
      <c r="Z36" s="595"/>
    </row>
    <row r="37" spans="1:26" ht="15" customHeight="1">
      <c r="A37" s="604"/>
      <c r="B37" s="588" t="s">
        <v>48</v>
      </c>
      <c r="C37" s="586">
        <f>'ｼｰﾄNO.3（表-3）59頁'!$F$30</f>
        <v>9</v>
      </c>
      <c r="D37" s="216" t="s">
        <v>65</v>
      </c>
      <c r="E37" s="342">
        <f>'ｼｰﾄNO.4（表-4）60頁'!G39</f>
        <v>745.75</v>
      </c>
      <c r="F37" s="590">
        <f>'ｼｰﾄNO.4（表-4）60頁'!C39/1000</f>
        <v>1.054</v>
      </c>
      <c r="G37" s="590">
        <f>'ｼｰﾄNO.4（表-4）60頁'!C39/1000/('ｼｰﾄNO.4（表-4）60頁'!D39/3600)</f>
        <v>20.400000000000002</v>
      </c>
      <c r="H37" s="219">
        <f>-2.71095565/G37-0.09453616*G37+0.00089493*G37^2+3.15403637</f>
        <v>1.4650427919568627</v>
      </c>
      <c r="I37" s="592">
        <v>10000</v>
      </c>
      <c r="J37" s="343">
        <f t="shared" ref="J37" si="182">C37*E37*F37*H37/1000000*I37</f>
        <v>103.63983010697962</v>
      </c>
      <c r="K37" s="219">
        <f t="shared" ref="K37" si="183">1501.20185/G37-2.40935*G37+0.02115*G37^2+174.47635</f>
        <v>207.71571998039212</v>
      </c>
      <c r="L37" s="592">
        <v>2891</v>
      </c>
      <c r="M37" s="343">
        <f t="shared" ref="M37" si="184">C37*E37*F37*K37/1000000*L37</f>
        <v>4248.091273465503</v>
      </c>
      <c r="N37" s="219">
        <f>-0.25063622/G37-0.00657231*G37+0.00005332*G37^2+0.29056757</f>
        <v>0.1663960079843137</v>
      </c>
      <c r="O37" s="592">
        <v>840100</v>
      </c>
      <c r="P37" s="343">
        <f t="shared" ref="P37" si="185">C37*E37*F37*N37/1000000*O37</f>
        <v>988.89520246344136</v>
      </c>
      <c r="Q37" s="219">
        <f>0.093055673/G37-0.0002682273*G37+0.00000218*G37^2+0.0173678037</f>
        <v>1.7364748178039215E-2</v>
      </c>
      <c r="R37" s="592">
        <v>482200</v>
      </c>
      <c r="S37" s="343">
        <f t="shared" ref="S37" si="186">C37*E37*F37*Q37/1000000*R37</f>
        <v>59.234138706890839</v>
      </c>
      <c r="T37" s="219">
        <f t="shared" ref="T37" si="187">0.630901162/G37-0.001006579*G37+0.000008915*G37^2+0.0072170055</f>
        <v>2.13193878490196E-2</v>
      </c>
      <c r="U37" s="592">
        <v>160</v>
      </c>
      <c r="V37" s="343">
        <f t="shared" ref="V37" si="188">C37*E37*F37*T37*U37</f>
        <v>24130.765291363645</v>
      </c>
      <c r="W37" s="598"/>
      <c r="X37" s="598"/>
      <c r="Y37" s="598"/>
      <c r="Z37" s="595"/>
    </row>
    <row r="38" spans="1:26" ht="15" customHeight="1">
      <c r="A38" s="604"/>
      <c r="B38" s="589"/>
      <c r="C38" s="587"/>
      <c r="D38" s="217" t="s">
        <v>66</v>
      </c>
      <c r="E38" s="344">
        <f>'ｼｰﾄNO.4（表-4）60頁'!G40</f>
        <v>39.25</v>
      </c>
      <c r="F38" s="591"/>
      <c r="G38" s="591"/>
      <c r="H38" s="218">
        <f>12.28697452/G37-0.05907844*G37+0.00051753*G37^2+2.69979197</f>
        <v>2.3122697513490196</v>
      </c>
      <c r="I38" s="593"/>
      <c r="J38" s="345">
        <f t="shared" ref="J38" si="189">C37*E38*F37*H38/1000000*I37</f>
        <v>8.6091699130589951</v>
      </c>
      <c r="K38" s="218">
        <f t="shared" ref="K38" si="190">908.52069/G37-23.49889*G37+0.18396*G37^2+1364.81344</f>
        <v>1006.5282055411764</v>
      </c>
      <c r="L38" s="593"/>
      <c r="M38" s="345">
        <f t="shared" ref="M38" si="191">C37*E38*F37*K38/1000000*L37</f>
        <v>1083.4199353809117</v>
      </c>
      <c r="N38" s="218">
        <f>9.45345681/G37-0.14325844*G37+0.00124097*G37^2+5.98054622</f>
        <v>4.0379208647882354</v>
      </c>
      <c r="O38" s="593"/>
      <c r="P38" s="345">
        <f t="shared" ref="P38" si="192">C37*E38*F37*N38/1000000*O37</f>
        <v>1263.0239022423725</v>
      </c>
      <c r="Q38" s="218">
        <f>0.6037810576/G37-0.0052863845*G37+0.000423961*G37^2+0.3189943526</f>
        <v>0.41718482922666666</v>
      </c>
      <c r="R38" s="593"/>
      <c r="S38" s="345">
        <f t="shared" ref="S38" si="193">C37*E38*F37*Q38/1000000*R37</f>
        <v>74.899426874727297</v>
      </c>
      <c r="T38" s="218">
        <f t="shared" ref="T38" si="194">0.2877659/G37-0.008903887*G37+0.000069093*G37^2+0.516185391</f>
        <v>0.37740601064862755</v>
      </c>
      <c r="U38" s="593"/>
      <c r="V38" s="345">
        <f t="shared" ref="V38" si="195">C37*E38*F37*T38*U37</f>
        <v>22482.861058840896</v>
      </c>
      <c r="W38" s="598"/>
      <c r="X38" s="598"/>
      <c r="Y38" s="598"/>
      <c r="Z38" s="595"/>
    </row>
    <row r="39" spans="1:26" ht="15" customHeight="1">
      <c r="A39" s="604"/>
      <c r="B39" s="588" t="s">
        <v>49</v>
      </c>
      <c r="C39" s="586">
        <f>'ｼｰﾄNO.3（表-3）59頁'!$F$30</f>
        <v>9</v>
      </c>
      <c r="D39" s="216" t="s">
        <v>65</v>
      </c>
      <c r="E39" s="342">
        <f>'ｼｰﾄNO.4（表-4）60頁'!G41</f>
        <v>143.44999999999999</v>
      </c>
      <c r="F39" s="590">
        <f>'ｼｰﾄNO.4（表-4）60頁'!C41/1000</f>
        <v>0.84799999999999998</v>
      </c>
      <c r="G39" s="590">
        <f>'ｼｰﾄNO.4（表-4）60頁'!C41/1000/('ｼｰﾄNO.4（表-4）60頁'!D41/3600)</f>
        <v>19.952941176470585</v>
      </c>
      <c r="H39" s="219">
        <f>-2.71095565/G39-0.09453616*G39+0.00089493*G39^2+3.15403637</f>
        <v>1.488183867538571</v>
      </c>
      <c r="I39" s="592">
        <v>10000</v>
      </c>
      <c r="J39" s="343">
        <f t="shared" ref="J39" si="196">C39*E39*F39*H39/1000000*I39</f>
        <v>16.292791752934498</v>
      </c>
      <c r="K39" s="219">
        <f t="shared" ref="K39" si="197">1501.20185/G39-2.40935*G39+0.02115*G39^2+174.47635</f>
        <v>210.06008726918213</v>
      </c>
      <c r="L39" s="592">
        <v>2891</v>
      </c>
      <c r="M39" s="343">
        <f t="shared" ref="M39" si="198">C39*E39*F39*K39/1000000*L39</f>
        <v>664.86052397139883</v>
      </c>
      <c r="N39" s="219">
        <f>-0.25063622/G39-0.00657231*G39+0.00005332*G39^2+0.29056757</f>
        <v>0.16809703903852097</v>
      </c>
      <c r="O39" s="592">
        <v>840100</v>
      </c>
      <c r="P39" s="343">
        <f t="shared" ref="P39" si="199">C39*E39*F39*N39/1000000*O39</f>
        <v>154.60728813946099</v>
      </c>
      <c r="Q39" s="219">
        <f>0.093055673/G39-0.0002682273*G39+0.00000218*G39^2+0.0173678037</f>
        <v>1.7547538655790708E-2</v>
      </c>
      <c r="R39" s="592">
        <v>482200</v>
      </c>
      <c r="S39" s="343">
        <f t="shared" ref="S39" si="200">C39*E39*F39*Q39/1000000*R39</f>
        <v>9.263654052278083</v>
      </c>
      <c r="T39" s="219">
        <f t="shared" ref="T39" si="201">0.630901162/G39-0.001006579*G39+0.000008915*G39^2+0.0072170055</f>
        <v>2.2301489311553346E-2</v>
      </c>
      <c r="U39" s="592">
        <v>160</v>
      </c>
      <c r="V39" s="343">
        <f t="shared" ref="V39" si="202">C39*E39*F39*T39*U39</f>
        <v>3906.5443894043901</v>
      </c>
      <c r="W39" s="598"/>
      <c r="X39" s="598"/>
      <c r="Y39" s="598"/>
      <c r="Z39" s="595"/>
    </row>
    <row r="40" spans="1:26" ht="15" customHeight="1">
      <c r="A40" s="604"/>
      <c r="B40" s="589"/>
      <c r="C40" s="587"/>
      <c r="D40" s="217" t="s">
        <v>66</v>
      </c>
      <c r="E40" s="344">
        <f>'ｼｰﾄNO.4（表-4）60頁'!G42</f>
        <v>7.5500000000000007</v>
      </c>
      <c r="F40" s="591"/>
      <c r="G40" s="591"/>
      <c r="H40" s="218">
        <f>12.28697452/G39-0.05907844*G39+0.00051753*G39^2+2.69979197</f>
        <v>2.3428399655264318</v>
      </c>
      <c r="I40" s="593"/>
      <c r="J40" s="345">
        <f t="shared" ref="J40" si="203">C39*E40*F39*H40/1000000*I39</f>
        <v>1.3499818735757785</v>
      </c>
      <c r="K40" s="218">
        <f t="shared" ref="K40" si="204">908.52069/G39-23.49889*G39+0.18396*G39^2+1364.81344</f>
        <v>1014.7127712298761</v>
      </c>
      <c r="L40" s="593"/>
      <c r="M40" s="345">
        <f t="shared" ref="M40" si="205">C39*E40*F39*K40/1000000*L39</f>
        <v>169.03495855346006</v>
      </c>
      <c r="N40" s="218">
        <f>9.45345681/G39-0.14325844*G39+0.00124097*G39^2+5.98054622</f>
        <v>4.0899614332216476</v>
      </c>
      <c r="O40" s="593"/>
      <c r="P40" s="345">
        <f t="shared" ref="P40" si="206">C39*E40*F39*N40/1000000*O39</f>
        <v>197.98646925741264</v>
      </c>
      <c r="Q40" s="218">
        <f>0.6037810576/G39-0.0052863845*G39+0.000423961*G39^2+0.3189943526</f>
        <v>0.41256298175198597</v>
      </c>
      <c r="R40" s="593"/>
      <c r="S40" s="345">
        <f t="shared" ref="S40" si="207">C39*E40*F39*Q40/1000000*R39</f>
        <v>11.463118358514217</v>
      </c>
      <c r="T40" s="218">
        <f t="shared" ref="T40" si="208">0.2877659/G39-0.008903887*G39+0.000069093*G39^2+0.516185391</f>
        <v>0.3804561827020328</v>
      </c>
      <c r="U40" s="593"/>
      <c r="V40" s="345">
        <f t="shared" ref="V40" si="209">C39*E40*F39*T40*U39</f>
        <v>3507.5990363493524</v>
      </c>
      <c r="W40" s="598"/>
      <c r="X40" s="598"/>
      <c r="Y40" s="598"/>
      <c r="Z40" s="595"/>
    </row>
    <row r="41" spans="1:26" ht="15" customHeight="1">
      <c r="A41" s="604"/>
      <c r="B41" s="588" t="s">
        <v>50</v>
      </c>
      <c r="C41" s="586">
        <f>'ｼｰﾄNO.3（表-3）59頁'!$F$30</f>
        <v>9</v>
      </c>
      <c r="D41" s="216" t="s">
        <v>65</v>
      </c>
      <c r="E41" s="342">
        <f>'ｼｰﾄNO.4（表-4）60頁'!G43</f>
        <v>165.29999999999998</v>
      </c>
      <c r="F41" s="590">
        <f>'ｼｰﾄNO.4（表-4）60頁'!C43/1000</f>
        <v>0.91</v>
      </c>
      <c r="G41" s="590">
        <f>'ｼｰﾄNO.4（表-4）60頁'!C43/1000/('ｼｰﾄNO.4（表-4）60頁'!D43/3600)</f>
        <v>19.384615384615387</v>
      </c>
      <c r="H41" s="219">
        <f>-2.71095565/G41-0.09453616*G41+0.00089493*G41^2+3.15403637</f>
        <v>1.5179202440037101</v>
      </c>
      <c r="I41" s="592">
        <v>10000</v>
      </c>
      <c r="J41" s="343">
        <f t="shared" ref="J41" si="210">C41*E41*F41*H41/1000000*I41</f>
        <v>20.549710517739303</v>
      </c>
      <c r="K41" s="219">
        <f t="shared" ref="K41" si="211">1501.20185/G41-2.40935*G41+0.02115*G41^2+174.47635</f>
        <v>213.16237358528224</v>
      </c>
      <c r="L41" s="592">
        <v>2891</v>
      </c>
      <c r="M41" s="343">
        <f t="shared" ref="M41" si="212">C41*E41*F41*K41/1000000*L41</f>
        <v>834.28684271800591</v>
      </c>
      <c r="N41" s="219">
        <f>-0.25063622/G41-0.00657231*G41+0.00005332*G41^2+0.29056757</f>
        <v>0.17027192207335401</v>
      </c>
      <c r="O41" s="592">
        <v>840100</v>
      </c>
      <c r="P41" s="343">
        <f t="shared" ref="P41" si="213">C41*E41*F41*N41/1000000*O41</f>
        <v>193.65592033734399</v>
      </c>
      <c r="Q41" s="219">
        <f>0.093055673/G41-0.0002682273*G41+0.00000218*G41^2+0.0173678037</f>
        <v>1.778797574497511E-2</v>
      </c>
      <c r="R41" s="592">
        <v>482200</v>
      </c>
      <c r="S41" s="343">
        <f t="shared" ref="S41" si="214">C41*E41*F41*Q41/1000000*R41</f>
        <v>11.612092587475837</v>
      </c>
      <c r="T41" s="219">
        <f t="shared" ref="T41" si="215">0.630901162/G41-0.001006579*G41+0.000008915*G41^2+0.0072170055</f>
        <v>2.3601277187470647E-2</v>
      </c>
      <c r="U41" s="592">
        <v>160</v>
      </c>
      <c r="V41" s="343">
        <f t="shared" ref="V41" si="216">C41*E41*F41*T41*U41</f>
        <v>5112.2518824540912</v>
      </c>
      <c r="W41" s="598"/>
      <c r="X41" s="598"/>
      <c r="Y41" s="598"/>
      <c r="Z41" s="595"/>
    </row>
    <row r="42" spans="1:26" ht="15" customHeight="1">
      <c r="A42" s="604"/>
      <c r="B42" s="589"/>
      <c r="C42" s="587"/>
      <c r="D42" s="217" t="s">
        <v>66</v>
      </c>
      <c r="E42" s="344">
        <f>'ｼｰﾄNO.4（表-4）60頁'!G44</f>
        <v>8.7000000000000011</v>
      </c>
      <c r="F42" s="591"/>
      <c r="G42" s="591"/>
      <c r="H42" s="218">
        <f>12.28697452/G41-0.05907844*G41+0.00051753*G41^2+2.69979197</f>
        <v>2.3828997809279606</v>
      </c>
      <c r="I42" s="593"/>
      <c r="J42" s="345">
        <f t="shared" ref="J42" si="217">C41*E42*F41*H42/1000000*I41</f>
        <v>1.6978875809046001</v>
      </c>
      <c r="K42" s="218">
        <f t="shared" ref="K42" si="218">908.52069/G41-23.49889*G41+0.18396*G41^2+1364.81344</f>
        <v>1025.2900453895463</v>
      </c>
      <c r="L42" s="593"/>
      <c r="M42" s="345">
        <f t="shared" ref="M42" si="219">C41*E42*F41*K42/1000000*L41</f>
        <v>211.20198072757265</v>
      </c>
      <c r="N42" s="218">
        <f>9.45345681/G41-0.14325844*G41+0.00124097*G41^2+5.98054622</f>
        <v>4.1575257867899413</v>
      </c>
      <c r="O42" s="593"/>
      <c r="P42" s="345">
        <f t="shared" ref="P42" si="220">C41*E42*F41*N42/1000000*O41</f>
        <v>248.86801892284936</v>
      </c>
      <c r="Q42" s="218">
        <f>0.6037810576/G41-0.0052863845*G41+0.000423961*G41^2+0.3189943526</f>
        <v>0.40697624800460225</v>
      </c>
      <c r="R42" s="593"/>
      <c r="S42" s="345">
        <f t="shared" ref="S42" si="221">C41*E42*F41*Q42/1000000*R41</f>
        <v>13.982969940472486</v>
      </c>
      <c r="T42" s="218">
        <f t="shared" ref="T42" si="222">0.2877659/G41-0.008903887*G41+0.000069093*G41^2+0.516185391</f>
        <v>0.38439464697398334</v>
      </c>
      <c r="U42" s="593"/>
      <c r="V42" s="345">
        <f t="shared" ref="V42" si="223">C41*E42*F41*T42*U41</f>
        <v>4382.2834849339588</v>
      </c>
      <c r="W42" s="598"/>
      <c r="X42" s="598"/>
      <c r="Y42" s="598"/>
      <c r="Z42" s="595"/>
    </row>
    <row r="43" spans="1:26" ht="15" customHeight="1">
      <c r="A43" s="604"/>
      <c r="B43" s="588" t="s">
        <v>51</v>
      </c>
      <c r="C43" s="586">
        <f>'ｼｰﾄNO.3（表-3）59頁'!$F$30</f>
        <v>9</v>
      </c>
      <c r="D43" s="216" t="s">
        <v>65</v>
      </c>
      <c r="E43" s="342">
        <f>'ｼｰﾄNO.4（表-4）60頁'!G45</f>
        <v>45.599999999999994</v>
      </c>
      <c r="F43" s="590">
        <f>'ｼｰﾄNO.4（表-4）60頁'!C45/1000</f>
        <v>0.76100000000000001</v>
      </c>
      <c r="G43" s="590">
        <f>'ｼｰﾄNO.4（表-4）60頁'!C45/1000/('ｼｰﾄNO.4（表-4）60頁'!D45/3600)</f>
        <v>19.997080291970804</v>
      </c>
      <c r="H43" s="219">
        <f>-2.71095565/G43-0.09453616*G43+0.00089493*G43^2+3.15403637</f>
        <v>1.4858891048555183</v>
      </c>
      <c r="I43" s="592">
        <v>10000</v>
      </c>
      <c r="J43" s="343">
        <f t="shared" ref="J43" si="224">C43*E43*F43*H43/1000000*I43</f>
        <v>4.6406456424948823</v>
      </c>
      <c r="K43" s="219">
        <f t="shared" ref="K43" si="225">1501.20185/G43-2.40935*G43+0.02115*G43^2+174.47635</f>
        <v>209.82496648347652</v>
      </c>
      <c r="L43" s="592">
        <v>2891</v>
      </c>
      <c r="M43" s="343">
        <f t="shared" ref="M43" si="226">C43*E43*F43*K43/1000000*L43</f>
        <v>189.45115745907975</v>
      </c>
      <c r="N43" s="219">
        <f>-0.25063622/G43-0.00657231*G43+0.00005332*G43^2+0.29056757</f>
        <v>0.16792869179895592</v>
      </c>
      <c r="O43" s="592">
        <v>840100</v>
      </c>
      <c r="P43" s="343">
        <f t="shared" ref="P43" si="227">C43*E43*F43*N43/1000000*O43</f>
        <v>44.060345497321897</v>
      </c>
      <c r="Q43" s="219">
        <f>0.093055673/G43-0.0002682273*G43+0.00000218*G43^2+0.0173678037</f>
        <v>1.752924925310758E-2</v>
      </c>
      <c r="R43" s="592">
        <v>482200</v>
      </c>
      <c r="S43" s="343">
        <f t="shared" ref="S43" si="228">C43*E43*F43*Q43/1000000*R43</f>
        <v>2.6398699435271324</v>
      </c>
      <c r="T43" s="219">
        <f t="shared" ref="T43" si="229">0.630901162/G43-0.001006579*G43+0.000008915*G43^2+0.0072170055</f>
        <v>2.220298721525172E-2</v>
      </c>
      <c r="U43" s="592">
        <v>160</v>
      </c>
      <c r="V43" s="343">
        <f t="shared" ref="V43" si="230">C43*E43*F43*T43*U43</f>
        <v>1109.4900208542417</v>
      </c>
      <c r="W43" s="598"/>
      <c r="X43" s="598"/>
      <c r="Y43" s="598"/>
      <c r="Z43" s="595"/>
    </row>
    <row r="44" spans="1:26" ht="15" customHeight="1">
      <c r="A44" s="604"/>
      <c r="B44" s="589"/>
      <c r="C44" s="587"/>
      <c r="D44" s="217" t="s">
        <v>66</v>
      </c>
      <c r="E44" s="344">
        <f>'ｼｰﾄNO.4（表-4）60頁'!G46</f>
        <v>2.4000000000000004</v>
      </c>
      <c r="F44" s="591"/>
      <c r="G44" s="591"/>
      <c r="H44" s="218">
        <f>12.28697452/G43-0.05907844*G43+0.00051753*G43^2+2.69979197</f>
        <v>2.3397856497877036</v>
      </c>
      <c r="I44" s="593"/>
      <c r="J44" s="345">
        <f t="shared" ref="J44" si="231">C43*E44*F43*H44/1000000*I43</f>
        <v>0.38460460596950358</v>
      </c>
      <c r="K44" s="218">
        <f t="shared" ref="K44" si="232">908.52069/G43-23.49889*G43+0.18396*G43^2+1364.81344</f>
        <v>1013.8994340925833</v>
      </c>
      <c r="L44" s="593"/>
      <c r="M44" s="345">
        <f t="shared" ref="M44" si="233">C43*E44*F43*K44/1000000*L43</f>
        <v>48.18161801969616</v>
      </c>
      <c r="N44" s="218">
        <f>9.45345681/G43-0.14325844*G43+0.00124097*G43^2+5.98054622</f>
        <v>4.0847806265028197</v>
      </c>
      <c r="O44" s="593"/>
      <c r="P44" s="345">
        <f t="shared" ref="P44" si="234">C43*E44*F43*N44/1000000*O43</f>
        <v>56.407666021012929</v>
      </c>
      <c r="Q44" s="218">
        <f>0.6037810576/G43-0.0052863845*G43+0.000423961*G43^2+0.3189943526</f>
        <v>0.41301044790445707</v>
      </c>
      <c r="R44" s="593"/>
      <c r="S44" s="345">
        <f t="shared" ref="S44" si="235">C43*E44*F43*Q44/1000000*R43</f>
        <v>3.2736078396523092</v>
      </c>
      <c r="T44" s="218">
        <f t="shared" ref="T44" si="236">0.2877659/G43-0.008903887*G43+0.000069093*G43^2+0.516185391</f>
        <v>0.38015317487159356</v>
      </c>
      <c r="U44" s="593"/>
      <c r="V44" s="345">
        <f t="shared" ref="V44" si="237">C43*E44*F43*T44*U43</f>
        <v>999.80893236308907</v>
      </c>
      <c r="W44" s="598"/>
      <c r="X44" s="598"/>
      <c r="Y44" s="598"/>
      <c r="Z44" s="595"/>
    </row>
    <row r="45" spans="1:26" ht="15" customHeight="1">
      <c r="A45" s="604"/>
      <c r="B45" s="588" t="s">
        <v>52</v>
      </c>
      <c r="C45" s="586">
        <f>'ｼｰﾄNO.3（表-3）59頁'!$F$30</f>
        <v>9</v>
      </c>
      <c r="D45" s="216" t="s">
        <v>65</v>
      </c>
      <c r="E45" s="342">
        <f>'ｼｰﾄNO.4（表-4）60頁'!G47</f>
        <v>162.44999999999999</v>
      </c>
      <c r="F45" s="590">
        <f>'ｼｰﾄNO.4（表-4）60頁'!C47/1000</f>
        <v>0.84799999999999998</v>
      </c>
      <c r="G45" s="590">
        <f>'ｼｰﾄNO.4（表-4）60頁'!C47/1000/('ｼｰﾄNO.4（表-4）60頁'!D47/3600)</f>
        <v>29.63883495145631</v>
      </c>
      <c r="H45" s="219">
        <f>-2.71095565/G45-0.09453616*G45+0.00089493*G45^2+3.15403637</f>
        <v>1.046789078981619</v>
      </c>
      <c r="I45" s="592">
        <v>10000</v>
      </c>
      <c r="J45" s="343">
        <f t="shared" ref="J45" si="238">C45*E45*F45*H45/1000000*I45</f>
        <v>12.978283610404645</v>
      </c>
      <c r="K45" s="219">
        <f t="shared" ref="K45" si="239">1501.20185/G45-2.40935*G45+0.02115*G45^2+174.47635</f>
        <v>172.29528994222508</v>
      </c>
      <c r="L45" s="592">
        <v>2891</v>
      </c>
      <c r="M45" s="343">
        <f t="shared" ref="M45" si="240">C45*E45*F45*K45/1000000*L45</f>
        <v>617.56059120441284</v>
      </c>
      <c r="N45" s="219">
        <f>-0.25063622/G45-0.00657231*G45+0.00005332*G45^2+0.29056757</f>
        <v>0.13415512929699225</v>
      </c>
      <c r="O45" s="592">
        <v>840100</v>
      </c>
      <c r="P45" s="343">
        <f t="shared" ref="P45" si="241">C45*E45*F45*N45/1000000*O45</f>
        <v>139.73215091547931</v>
      </c>
      <c r="Q45" s="219">
        <f>0.093055673/G45-0.0002682273*G45+0.00000218*G45^2+0.0173678037</f>
        <v>1.4472556534503201E-2</v>
      </c>
      <c r="R45" s="592">
        <v>482200</v>
      </c>
      <c r="S45" s="343">
        <f t="shared" ref="S45" si="242">C45*E45*F45*Q45/1000000*R45</f>
        <v>8.6522794576786435</v>
      </c>
      <c r="T45" s="219">
        <f t="shared" ref="T45" si="243">0.630901162/G45-0.001006579*G45+0.000008915*G45^2+0.0072170055</f>
        <v>6.5009533410188333E-3</v>
      </c>
      <c r="U45" s="592">
        <v>160</v>
      </c>
      <c r="V45" s="343">
        <f t="shared" ref="V45" si="244">C45*E45*F45*T45*U45</f>
        <v>1289.6002511578599</v>
      </c>
      <c r="W45" s="598"/>
      <c r="X45" s="598"/>
      <c r="Y45" s="598"/>
      <c r="Z45" s="595"/>
    </row>
    <row r="46" spans="1:26" ht="15" customHeight="1">
      <c r="A46" s="604"/>
      <c r="B46" s="589"/>
      <c r="C46" s="587"/>
      <c r="D46" s="217" t="s">
        <v>66</v>
      </c>
      <c r="E46" s="344">
        <f>'ｼｰﾄNO.4（表-4）60頁'!G48</f>
        <v>8.5500000000000007</v>
      </c>
      <c r="F46" s="591"/>
      <c r="G46" s="591"/>
      <c r="H46" s="218">
        <f>12.28697452/G45-0.05907844*G45+0.00051753*G45^2+2.69979197</f>
        <v>1.8179621152766519</v>
      </c>
      <c r="I46" s="593"/>
      <c r="J46" s="345">
        <f t="shared" ref="J46" si="245">C45*E46*F45*H46/1000000*I45</f>
        <v>1.1862857268541656</v>
      </c>
      <c r="K46" s="218">
        <f t="shared" ref="K46" si="246">908.52069/G45-23.49889*G45+0.18396*G45^2+1364.81344</f>
        <v>860.58836819536759</v>
      </c>
      <c r="L46" s="593"/>
      <c r="M46" s="345">
        <f t="shared" ref="M46" si="247">C45*E46*F45*K46/1000000*L45</f>
        <v>162.34841011204654</v>
      </c>
      <c r="N46" s="218">
        <f>9.45345681/G45-0.14325844*G45+0.00124097*G45^2+5.98054622</f>
        <v>3.1436312088836642</v>
      </c>
      <c r="O46" s="593"/>
      <c r="P46" s="345">
        <f t="shared" ref="P46" si="248">C45*E46*F45*N46/1000000*O45</f>
        <v>172.33244622503449</v>
      </c>
      <c r="Q46" s="218">
        <f>0.6037810576/G45-0.0052863845*G45+0.000423961*G45^2+0.3189943526</f>
        <v>0.55511636451228497</v>
      </c>
      <c r="R46" s="593"/>
      <c r="S46" s="345">
        <f t="shared" ref="S46" si="249">C45*E46*F45*Q46/1000000*R45</f>
        <v>17.466895128249988</v>
      </c>
      <c r="T46" s="218">
        <f t="shared" ref="T46" si="250">0.2877659/G45-0.008903887*G45+0.000069093*G45^2+0.516185391</f>
        <v>0.3226891103938006</v>
      </c>
      <c r="U46" s="593"/>
      <c r="V46" s="345">
        <f t="shared" ref="V46" si="251">C45*E46*F45*T46*U45</f>
        <v>3369.0601814388656</v>
      </c>
      <c r="W46" s="598"/>
      <c r="X46" s="598"/>
      <c r="Y46" s="598"/>
      <c r="Z46" s="595"/>
    </row>
    <row r="47" spans="1:26" ht="15" customHeight="1">
      <c r="A47" s="604"/>
      <c r="B47" s="588" t="s">
        <v>53</v>
      </c>
      <c r="C47" s="586">
        <f>'ｼｰﾄNO.3（表-3）59頁'!$F$30</f>
        <v>9</v>
      </c>
      <c r="D47" s="216" t="s">
        <v>65</v>
      </c>
      <c r="E47" s="342">
        <f>'ｼｰﾄNO.4（表-4）60頁'!G49</f>
        <v>749.55</v>
      </c>
      <c r="F47" s="590">
        <f>'ｼｰﾄNO.4（表-4）60頁'!C49/1000</f>
        <v>0.61699999999999999</v>
      </c>
      <c r="G47" s="590">
        <f>'ｼｰﾄNO.4（表-4）60頁'!C49/1000/('ｼｰﾄNO.4（表-4）60頁'!D49/3600)</f>
        <v>26.131764705882354</v>
      </c>
      <c r="H47" s="219">
        <f>-2.71095565/G47-0.09453616*G47+0.00089493*G47^2+3.15403637</f>
        <v>1.1910179733605875</v>
      </c>
      <c r="I47" s="592">
        <v>10000</v>
      </c>
      <c r="J47" s="343">
        <f t="shared" ref="J47" si="252">C47*E47*F47*H47/1000000*I47</f>
        <v>49.573159292907746</v>
      </c>
      <c r="K47" s="219">
        <f t="shared" ref="K47" si="253">1501.20185/G47-2.40935*G47+0.02115*G47^2+174.47635</f>
        <v>183.40586129931432</v>
      </c>
      <c r="L47" s="592">
        <v>2891</v>
      </c>
      <c r="M47" s="343">
        <f t="shared" ref="M47" si="254">C47*E47*F47*K47/1000000*L47</f>
        <v>2206.9352143044653</v>
      </c>
      <c r="N47" s="219">
        <f>-0.25063622/G47-0.00657231*G47+0.00005332*G47^2+0.29056757</f>
        <v>0.14564084594972018</v>
      </c>
      <c r="O47" s="592">
        <v>840100</v>
      </c>
      <c r="P47" s="343">
        <f t="shared" ref="P47" si="255">C47*E47*F47*N47/1000000*O47</f>
        <v>509.26339335245848</v>
      </c>
      <c r="Q47" s="219">
        <f>0.093055673/G47-0.0002682273*G47+0.00000218*G47^2+0.0173678037</f>
        <v>1.5408223265116677E-2</v>
      </c>
      <c r="R47" s="592">
        <v>482200</v>
      </c>
      <c r="S47" s="343">
        <f t="shared" ref="S47" si="256">C47*E47*F47*Q47/1000000*R47</f>
        <v>30.924881971260866</v>
      </c>
      <c r="T47" s="219">
        <f t="shared" ref="T47" si="257">0.630901162/G47-0.001006579*G47+0.000008915*G47^2+0.0072170055</f>
        <v>1.114417343926544E-2</v>
      </c>
      <c r="U47" s="592">
        <v>160</v>
      </c>
      <c r="V47" s="343">
        <f t="shared" ref="V47" si="258">C47*E47*F47*T47*U47</f>
        <v>7421.5757941411257</v>
      </c>
      <c r="W47" s="598"/>
      <c r="X47" s="598"/>
      <c r="Y47" s="598"/>
      <c r="Z47" s="595"/>
    </row>
    <row r="48" spans="1:26" ht="15" customHeight="1">
      <c r="A48" s="604"/>
      <c r="B48" s="589"/>
      <c r="C48" s="587"/>
      <c r="D48" s="217" t="s">
        <v>66</v>
      </c>
      <c r="E48" s="344">
        <f>'ｼｰﾄNO.4（表-4）60頁'!G50</f>
        <v>39.450000000000003</v>
      </c>
      <c r="F48" s="591"/>
      <c r="G48" s="591"/>
      <c r="H48" s="218">
        <f>12.28697452/G47-0.05907844*G47+0.00051753*G47^2+2.69979197</f>
        <v>1.9795664000408051</v>
      </c>
      <c r="I48" s="593"/>
      <c r="J48" s="345">
        <f t="shared" ref="J48" si="259">C47*E48*F47*H48/1000000*I47</f>
        <v>4.3365539605637897</v>
      </c>
      <c r="K48" s="218">
        <f t="shared" ref="K48" si="260">908.52069/G47-23.49889*G47+0.18396*G47^2+1364.81344</f>
        <v>911.13348937866317</v>
      </c>
      <c r="L48" s="593"/>
      <c r="M48" s="345">
        <f t="shared" ref="M48" si="261">C47*E48*F47*K48/1000000*L47</f>
        <v>577.03848962036034</v>
      </c>
      <c r="N48" s="218">
        <f>9.45345681/G47-0.14325844*G47+0.00124097*G47^2+5.98054622</f>
        <v>3.4461316069828696</v>
      </c>
      <c r="O48" s="593"/>
      <c r="P48" s="345">
        <f t="shared" ref="P48" si="262">C47*E48*F47*N48/1000000*O47</f>
        <v>634.21648271924698</v>
      </c>
      <c r="Q48" s="218">
        <f>0.6037810576/G47-0.0052863845*G47+0.000423961*G47^2+0.3189943526</f>
        <v>0.49346692837210338</v>
      </c>
      <c r="R48" s="593"/>
      <c r="S48" s="345">
        <f t="shared" ref="S48" si="263">C47*E48*F47*Q48/1000000*R47</f>
        <v>52.126664867791085</v>
      </c>
      <c r="T48" s="218">
        <f t="shared" ref="T48" si="264">0.2877659/G47-0.008903887*G47+0.000069093*G47^2+0.516185391</f>
        <v>0.34170469876159476</v>
      </c>
      <c r="U48" s="593"/>
      <c r="V48" s="345">
        <f t="shared" ref="V48" si="265">C47*E48*F47*T48*U47</f>
        <v>11976.932845312433</v>
      </c>
      <c r="W48" s="598"/>
      <c r="X48" s="598"/>
      <c r="Y48" s="598"/>
      <c r="Z48" s="595"/>
    </row>
    <row r="49" spans="1:26" ht="15" customHeight="1">
      <c r="A49" s="604"/>
      <c r="B49" s="588" t="s">
        <v>54</v>
      </c>
      <c r="C49" s="586">
        <f>'ｼｰﾄNO.3（表-3）59頁'!$F$30</f>
        <v>9</v>
      </c>
      <c r="D49" s="216" t="s">
        <v>65</v>
      </c>
      <c r="E49" s="342">
        <f>'ｼｰﾄNO.4（表-4）60頁'!G51</f>
        <v>144.4</v>
      </c>
      <c r="F49" s="590">
        <f>'ｼｰﾄNO.4（表-4）60頁'!C51/1000</f>
        <v>0.82399999999999995</v>
      </c>
      <c r="G49" s="590">
        <f>'ｼｰﾄNO.4（表-4）60頁'!C51/1000/('ｼｰﾄNO.4（表-4）60頁'!D51/3600)</f>
        <v>26.967272727272725</v>
      </c>
      <c r="H49" s="219">
        <f>-2.71095565/G49-0.09453616*G49+0.00089493*G49^2+3.15403637</f>
        <v>1.1549496873745426</v>
      </c>
      <c r="I49" s="592">
        <v>10000</v>
      </c>
      <c r="J49" s="343">
        <f t="shared" ref="J49" si="266">C49*E49*F49*H49/1000000*I49</f>
        <v>12.368014336986514</v>
      </c>
      <c r="K49" s="219">
        <f t="shared" ref="K49" si="267">1501.20185/G49-2.40935*G49+0.02115*G49^2+174.47635</f>
        <v>180.55129061941417</v>
      </c>
      <c r="L49" s="592">
        <v>2891</v>
      </c>
      <c r="M49" s="343">
        <f t="shared" ref="M49" si="268">C49*E49*F49*K49/1000000*L49</f>
        <v>558.96627184251702</v>
      </c>
      <c r="N49" s="219">
        <f>-0.25063622/G49-0.00657231*G49+0.00005332*G49^2+0.29056757</f>
        <v>0.14281231138487471</v>
      </c>
      <c r="O49" s="592">
        <v>840100</v>
      </c>
      <c r="P49" s="343">
        <f t="shared" ref="P49" si="269">C49*E49*F49*N49/1000000*O49</f>
        <v>128.47941404252384</v>
      </c>
      <c r="Q49" s="219">
        <f>0.093055673/G49-0.0002682273*G49+0.00000218*G49^2+0.0173678037</f>
        <v>1.517050368921115E-2</v>
      </c>
      <c r="R49" s="592">
        <v>482200</v>
      </c>
      <c r="S49" s="343">
        <f t="shared" ref="S49" si="270">C49*E49*F49*Q49/1000000*R49</f>
        <v>7.8336492252346774</v>
      </c>
      <c r="T49" s="219">
        <f t="shared" ref="T49" si="271">0.630901162/G49-0.001006579*G49+0.000008915*G49^2+0.0072170055</f>
        <v>9.9506717588301249E-3</v>
      </c>
      <c r="U49" s="592">
        <v>160</v>
      </c>
      <c r="V49" s="343">
        <f t="shared" ref="V49" si="272">C49*E49*F49*T49*U49</f>
        <v>1704.940775463539</v>
      </c>
      <c r="W49" s="598"/>
      <c r="X49" s="598"/>
      <c r="Y49" s="598"/>
      <c r="Z49" s="595"/>
    </row>
    <row r="50" spans="1:26" ht="15" customHeight="1">
      <c r="A50" s="604"/>
      <c r="B50" s="589"/>
      <c r="C50" s="587"/>
      <c r="D50" s="217" t="s">
        <v>66</v>
      </c>
      <c r="E50" s="344">
        <f>'ｼｰﾄNO.4（表-4）60頁'!G52</f>
        <v>7.6000000000000005</v>
      </c>
      <c r="F50" s="591"/>
      <c r="G50" s="591"/>
      <c r="H50" s="218">
        <f>12.28697452/G49-0.05907844*G49+0.00051753*G49^2+2.69979197</f>
        <v>1.9385982774635997</v>
      </c>
      <c r="I50" s="593"/>
      <c r="J50" s="345">
        <f t="shared" ref="J50" si="273">C49*E50*F49*H50/1000000*I49</f>
        <v>1.0926250067509242</v>
      </c>
      <c r="K50" s="218">
        <f t="shared" ref="K50" si="274">908.52069/G49-23.49889*G49+0.18396*G49^2+1364.81344</f>
        <v>898.58414463141548</v>
      </c>
      <c r="L50" s="593"/>
      <c r="M50" s="345">
        <f t="shared" ref="M50" si="275">C49*E50*F49*K50/1000000*L49</f>
        <v>146.41654560443365</v>
      </c>
      <c r="N50" s="218">
        <f>9.45345681/G49-0.14325844*G49+0.00124097*G49^2+5.98054622</f>
        <v>3.3702850674289411</v>
      </c>
      <c r="O50" s="593"/>
      <c r="P50" s="345">
        <f t="shared" ref="P50" si="276">C49*E50*F49*N50/1000000*O49</f>
        <v>159.58090890526418</v>
      </c>
      <c r="Q50" s="218">
        <f>0.6037810576/G49-0.0052863845*G49+0.000423961*G49^2+0.3189943526</f>
        <v>0.50714314848764186</v>
      </c>
      <c r="R50" s="593"/>
      <c r="S50" s="345">
        <f t="shared" ref="S50" si="277">C49*E50*F49*Q50/1000000*R49</f>
        <v>13.782915131755681</v>
      </c>
      <c r="T50" s="218">
        <f t="shared" ref="T50" si="278">0.2877659/G49-0.008903887*G49+0.000069093*G49^2+0.516185391</f>
        <v>0.33698953752519956</v>
      </c>
      <c r="U50" s="593"/>
      <c r="V50" s="345">
        <f t="shared" ref="V50" si="279">C49*E50*F49*T50*U49</f>
        <v>3038.9231229088459</v>
      </c>
      <c r="W50" s="598"/>
      <c r="X50" s="598"/>
      <c r="Y50" s="598"/>
      <c r="Z50" s="595"/>
    </row>
    <row r="51" spans="1:26" ht="15" customHeight="1">
      <c r="A51" s="604"/>
      <c r="B51" s="588" t="s">
        <v>55</v>
      </c>
      <c r="C51" s="586">
        <f>'ｼｰﾄNO.3（表-3）59頁'!$F$30</f>
        <v>9</v>
      </c>
      <c r="D51" s="216" t="s">
        <v>65</v>
      </c>
      <c r="E51" s="342">
        <f>'ｼｰﾄNO.4（表-4）60頁'!G53</f>
        <v>43.699999999999996</v>
      </c>
      <c r="F51" s="590">
        <f>'ｼｰﾄNO.4（表-4）60頁'!C53/1000</f>
        <v>0.91</v>
      </c>
      <c r="G51" s="590">
        <f>'ｼｰﾄNO.4（表-4）60頁'!C53/1000/('ｼｰﾄNO.4（表-4）60頁'!D53/3600)</f>
        <v>24.81818181818182</v>
      </c>
      <c r="H51" s="219">
        <f>-2.71095565/G51-0.09453616*G51+0.00089493*G51^2+3.15403637</f>
        <v>1.2498132246792601</v>
      </c>
      <c r="I51" s="592">
        <v>10000</v>
      </c>
      <c r="J51" s="343">
        <f t="shared" ref="J51" si="280">C51*E51*F51*H51/1000000*I51</f>
        <v>4.473119025523812</v>
      </c>
      <c r="K51" s="219">
        <f t="shared" ref="K51" si="281">1501.20185/G51-2.40935*G51+0.02115*G51^2+174.47635</f>
        <v>188.19582671268125</v>
      </c>
      <c r="L51" s="592">
        <v>2891</v>
      </c>
      <c r="M51" s="343">
        <f t="shared" ref="M51" si="282">C51*E51*F51*K51/1000000*L51</f>
        <v>194.72576514833983</v>
      </c>
      <c r="N51" s="219">
        <f>-0.25063622/G51-0.00657231*G51+0.00005332*G51^2+0.29056757</f>
        <v>0.15019792551509098</v>
      </c>
      <c r="O51" s="592">
        <v>840100</v>
      </c>
      <c r="P51" s="343">
        <f t="shared" ref="P51" si="283">C51*E51*F51*N51/1000000*O51</f>
        <v>45.160657662740746</v>
      </c>
      <c r="Q51" s="219">
        <f>0.093055673/G51-0.0002682273*G51+0.00000218*G51^2+0.0173678037</f>
        <v>1.5803139665982503E-2</v>
      </c>
      <c r="R51" s="592">
        <v>482200</v>
      </c>
      <c r="S51" s="343">
        <f t="shared" ref="S51" si="284">C51*E51*F51*Q51/1000000*R51</f>
        <v>2.7273189064305079</v>
      </c>
      <c r="T51" s="219">
        <f t="shared" ref="T51" si="285">0.630901162/G51-0.001006579*G51+0.000008915*G51^2+0.0072170055</f>
        <v>1.314759506122665E-2</v>
      </c>
      <c r="U51" s="592">
        <v>160</v>
      </c>
      <c r="V51" s="343">
        <f t="shared" ref="V51" si="286">C51*E51*F51*T51*U51</f>
        <v>752.8901944317123</v>
      </c>
      <c r="W51" s="598"/>
      <c r="X51" s="598"/>
      <c r="Y51" s="598"/>
      <c r="Z51" s="595"/>
    </row>
    <row r="52" spans="1:26" ht="15" customHeight="1">
      <c r="A52" s="604"/>
      <c r="B52" s="589"/>
      <c r="C52" s="587"/>
      <c r="D52" s="217" t="s">
        <v>66</v>
      </c>
      <c r="E52" s="344">
        <f>'ｼｰﾄNO.4（表-4）60頁'!G54</f>
        <v>2.3000000000000003</v>
      </c>
      <c r="F52" s="591"/>
      <c r="G52" s="591"/>
      <c r="H52" s="218">
        <f>12.28697452/G51-0.05907844*G51+0.00051753*G51^2+2.69979197</f>
        <v>2.047420604207308</v>
      </c>
      <c r="I52" s="593"/>
      <c r="J52" s="345">
        <f t="shared" ref="J52" si="287">C51*E52*F51*H52/1000000*I51</f>
        <v>0.38567261921453067</v>
      </c>
      <c r="K52" s="218">
        <f t="shared" ref="K52" si="288">908.52069/G51-23.49889*G51+0.18396*G51^2+1364.81344</f>
        <v>931.52949390972651</v>
      </c>
      <c r="L52" s="593"/>
      <c r="M52" s="345">
        <f t="shared" ref="M52" si="289">C51*E52*F51*K52/1000000*L51</f>
        <v>50.729016132963814</v>
      </c>
      <c r="N52" s="218">
        <f>9.45345681/G51-0.14325844*G51+0.00124097*G51^2+5.98054622</f>
        <v>3.5704064535918629</v>
      </c>
      <c r="O52" s="593"/>
      <c r="P52" s="345">
        <f t="shared" ref="P52" si="290">C51*E52*F51*N52/1000000*O51</f>
        <v>56.501552522336979</v>
      </c>
      <c r="Q52" s="218">
        <f>0.6037810576/G51-0.0052863845*G51+0.000423961*G51^2+0.3189943526</f>
        <v>0.47325952473081168</v>
      </c>
      <c r="R52" s="593"/>
      <c r="S52" s="345">
        <f t="shared" ref="S52" si="291">C51*E52*F51*Q52/1000000*R51</f>
        <v>4.2987115775982438</v>
      </c>
      <c r="T52" s="218">
        <f t="shared" ref="T52" si="292">0.2877659/G51-0.008903887*G51+0.000069093*G51^2+0.516185391</f>
        <v>0.34935935843341515</v>
      </c>
      <c r="U52" s="593"/>
      <c r="V52" s="345">
        <f t="shared" ref="V52" si="293">C51*E52*F51*T52*U51</f>
        <v>1052.9411575696388</v>
      </c>
      <c r="W52" s="598"/>
      <c r="X52" s="598"/>
      <c r="Y52" s="598"/>
      <c r="Z52" s="595"/>
    </row>
    <row r="53" spans="1:26" ht="15" customHeight="1">
      <c r="A53" s="604"/>
      <c r="B53" s="588" t="s">
        <v>56</v>
      </c>
      <c r="C53" s="586">
        <f>'ｼｰﾄNO.3（表-3）59頁'!$F$30</f>
        <v>9</v>
      </c>
      <c r="D53" s="216" t="s">
        <v>65</v>
      </c>
      <c r="E53" s="342">
        <f>'ｼｰﾄNO.4（表-4）60頁'!G55</f>
        <v>745.75</v>
      </c>
      <c r="F53" s="590">
        <f>'ｼｰﾄNO.4（表-4）60頁'!C55/1000</f>
        <v>0.61699999999999999</v>
      </c>
      <c r="G53" s="590">
        <f>'ｼｰﾄNO.4（表-4）60頁'!C55/1000/('ｼｰﾄNO.4（表-4）60頁'!D55/3600)</f>
        <v>26.442857142857143</v>
      </c>
      <c r="H53" s="219">
        <f>-2.71095565/G53-0.09453616*G53+0.00089493*G53^2+3.15403637</f>
        <v>1.1774660682172056</v>
      </c>
      <c r="I53" s="592">
        <v>10000</v>
      </c>
      <c r="J53" s="343">
        <f t="shared" ref="J53" si="294">C53*E53*F53*H53/1000000*I53</f>
        <v>48.760633140311633</v>
      </c>
      <c r="K53" s="219">
        <f t="shared" ref="K53" si="295">1501.20185/G53-2.40935*G53+0.02115*G53^2+174.47635</f>
        <v>182.32639925899403</v>
      </c>
      <c r="L53" s="592">
        <v>2891</v>
      </c>
      <c r="M53" s="343">
        <f t="shared" ref="M53" si="296">C53*E53*F53*K53/1000000*L53</f>
        <v>2182.8233075539833</v>
      </c>
      <c r="N53" s="219">
        <f>-0.25063622/G53-0.00657231*G53+0.00005332*G53^2+0.29056757</f>
        <v>0.14458116706475485</v>
      </c>
      <c r="O53" s="592">
        <v>840100</v>
      </c>
      <c r="P53" s="343">
        <f t="shared" ref="P53" si="297">C53*E53*F53*N53/1000000*O53</f>
        <v>502.99497485611539</v>
      </c>
      <c r="Q53" s="219">
        <f>0.093055673/G53-0.0002682273*G53+0.00000218*G53^2+0.0173678037</f>
        <v>1.5318540593027376E-2</v>
      </c>
      <c r="R53" s="592">
        <v>482200</v>
      </c>
      <c r="S53" s="343">
        <f t="shared" ref="S53" si="298">C53*E53*F53*Q53/1000000*R53</f>
        <v>30.589017877850274</v>
      </c>
      <c r="T53" s="219">
        <f t="shared" ref="T53" si="299">0.630901162/G53-0.001006579*G53+0.000008915*G53^2+0.0072170055</f>
        <v>1.0692808027495889E-2</v>
      </c>
      <c r="U53" s="592">
        <v>160</v>
      </c>
      <c r="V53" s="343">
        <f t="shared" ref="V53" si="300">C53*E53*F53*T53*U53</f>
        <v>7084.883086378014</v>
      </c>
      <c r="W53" s="598"/>
      <c r="X53" s="598"/>
      <c r="Y53" s="598"/>
      <c r="Z53" s="595"/>
    </row>
    <row r="54" spans="1:26" ht="15" customHeight="1">
      <c r="A54" s="605"/>
      <c r="B54" s="589"/>
      <c r="C54" s="587"/>
      <c r="D54" s="217" t="s">
        <v>66</v>
      </c>
      <c r="E54" s="344">
        <f>'ｼｰﾄNO.4（表-4）60頁'!G56</f>
        <v>39.25</v>
      </c>
      <c r="F54" s="591"/>
      <c r="G54" s="591"/>
      <c r="H54" s="218">
        <f>12.28697452/G53-0.05907844*G53+0.00051753*G53^2+2.69979197</f>
        <v>1.9641203577708941</v>
      </c>
      <c r="I54" s="593"/>
      <c r="J54" s="345">
        <f t="shared" ref="J54" si="301">C53*E54*F53*H54/1000000*I53</f>
        <v>4.2809034360804468</v>
      </c>
      <c r="K54" s="218">
        <f t="shared" ref="K54" si="302">908.52069/G53-23.49889*G53+0.18396*G53^2+1364.81344</f>
        <v>906.42291010988652</v>
      </c>
      <c r="L54" s="593"/>
      <c r="M54" s="345">
        <f t="shared" ref="M54" si="303">C53*E54*F53*K54/1000000*L53</f>
        <v>571.14489605050221</v>
      </c>
      <c r="N54" s="218">
        <f>9.45345681/G53-0.14325844*G53+0.00124097*G53^2+5.98054622</f>
        <v>3.4176057447057486</v>
      </c>
      <c r="O54" s="593"/>
      <c r="P54" s="345">
        <f t="shared" ref="P54" si="304">C53*E54*F53*N54/1000000*O53</f>
        <v>625.77798468202207</v>
      </c>
      <c r="Q54" s="218">
        <f>0.6037810576/G53-0.0052863845*G53+0.000423961*G53^2+0.3189943526</f>
        <v>0.49848467025916887</v>
      </c>
      <c r="R54" s="593"/>
      <c r="S54" s="345">
        <f t="shared" ref="S54" si="305">C53*E54*F53*Q54/1000000*R53</f>
        <v>52.38975261724277</v>
      </c>
      <c r="T54" s="218">
        <f t="shared" ref="T54" si="306">0.2877659/G53-0.008903887*G53+0.000069093*G53^2+0.516185391</f>
        <v>0.33993526781315708</v>
      </c>
      <c r="U54" s="593"/>
      <c r="V54" s="345">
        <f t="shared" ref="V54" si="307">C53*E54*F53*T54*U53</f>
        <v>11854.508204805377</v>
      </c>
      <c r="W54" s="599"/>
      <c r="X54" s="599"/>
      <c r="Y54" s="599"/>
      <c r="Z54" s="595"/>
    </row>
    <row r="55" spans="1:26" ht="15" customHeight="1">
      <c r="A55" s="603" t="s">
        <v>935</v>
      </c>
      <c r="B55" s="588" t="s">
        <v>45</v>
      </c>
      <c r="C55" s="586">
        <f>'ｼｰﾄNO.3（表-3）59頁'!$F$30</f>
        <v>9</v>
      </c>
      <c r="D55" s="216" t="s">
        <v>65</v>
      </c>
      <c r="E55" s="342">
        <f>'ｼｰﾄNO.4（表-4）60頁'!G60</f>
        <v>775.19999999999993</v>
      </c>
      <c r="F55" s="590">
        <f>'ｼｰﾄNO.4（表-4）60頁'!C60/1000</f>
        <v>1.054</v>
      </c>
      <c r="G55" s="590">
        <f>'ｼｰﾄNO.4（表-4）60頁'!C60/1000/('ｼｰﾄNO.4（表-4）60頁'!D60/3600)</f>
        <v>30.3552</v>
      </c>
      <c r="H55" s="219">
        <f>-2.71095565/G55-0.09453616*G55+0.00089493*G55^2+3.15403637</f>
        <v>1.0196872006283328</v>
      </c>
      <c r="I55" s="592">
        <v>10000</v>
      </c>
      <c r="J55" s="343">
        <f>C55*E55*F55*H55/1000000*I55</f>
        <v>74.983179590563154</v>
      </c>
      <c r="K55" s="219">
        <f>1501.20185/G55-2.40935*G55+0.02115*G55^2+174.47635</f>
        <v>170.282986261009</v>
      </c>
      <c r="L55" s="592">
        <v>2891</v>
      </c>
      <c r="M55" s="343">
        <f>C55*E55*F55*K55/1000000*L55</f>
        <v>3620.0638770076703</v>
      </c>
      <c r="N55" s="219">
        <f>-0.25063622/G55-0.00657231*G55+0.00005332*G55^2+0.29056757</f>
        <v>0.13193808816768687</v>
      </c>
      <c r="O55" s="592">
        <v>840100</v>
      </c>
      <c r="P55" s="343">
        <f>C55*E55*F55*N55/1000000*O55</f>
        <v>815.07590670371326</v>
      </c>
      <c r="Q55" s="219">
        <f>0.093055673/G55-0.0002682273*G55+0.00000218*G55^2+0.0173678037</f>
        <v>1.4300005108880222E-2</v>
      </c>
      <c r="R55" s="592">
        <v>482200</v>
      </c>
      <c r="S55" s="343">
        <f>C55*E55*F55*Q55/1000000*R55</f>
        <v>50.706108691190551</v>
      </c>
      <c r="T55" s="219">
        <f>0.630901162/G55-0.001006579*G55+0.000008915*G55^2+0.0072170055</f>
        <v>5.6606765845306928E-3</v>
      </c>
      <c r="U55" s="592">
        <v>160</v>
      </c>
      <c r="V55" s="343">
        <f>C55*E55*F55*T55*U55</f>
        <v>6660.1683917249993</v>
      </c>
      <c r="W55" s="597">
        <f>SUM(J55:J78)+SUM(M55:M78)+SUM(P55:P78)+SUM(S55:S78)+SUM(V55:V78)</f>
        <v>145604.8205025979</v>
      </c>
      <c r="X55" s="597">
        <f>'ｼｰﾄNO.3（表-3）59頁'!F37</f>
        <v>16</v>
      </c>
      <c r="Y55" s="597">
        <f>W55*X55</f>
        <v>2329677.1280415663</v>
      </c>
      <c r="Z55" s="595"/>
    </row>
    <row r="56" spans="1:26" ht="15" customHeight="1">
      <c r="A56" s="604"/>
      <c r="B56" s="589"/>
      <c r="C56" s="587"/>
      <c r="D56" s="217" t="s">
        <v>66</v>
      </c>
      <c r="E56" s="344">
        <f>'ｼｰﾄNO.4（表-4）60頁'!G61</f>
        <v>40.800000000000004</v>
      </c>
      <c r="F56" s="591"/>
      <c r="G56" s="591"/>
      <c r="H56" s="218">
        <f>12.28697452/G55-0.05907844*G55+0.00051753*G55^2+2.69979197</f>
        <v>1.7880993041444451</v>
      </c>
      <c r="I56" s="593"/>
      <c r="J56" s="345">
        <f>C55*E56*F55*H56/1000000*I55</f>
        <v>6.9204592796385969</v>
      </c>
      <c r="K56" s="218">
        <f>908.52069/G55-23.49889*G55+0.18396*G55^2+1364.81344</f>
        <v>850.93735535512485</v>
      </c>
      <c r="L56" s="593"/>
      <c r="M56" s="345">
        <f>C55*E56*F55*K56/1000000*L55</f>
        <v>952.11402883131154</v>
      </c>
      <c r="N56" s="218">
        <f>9.45345681/G55-0.14325844*G55+0.00124097*G55^2+5.98054622</f>
        <v>3.08681266468583</v>
      </c>
      <c r="O56" s="593"/>
      <c r="P56" s="345">
        <f>C55*E56*F55*N56/1000000*O55</f>
        <v>1003.6552057481975</v>
      </c>
      <c r="Q56" s="218">
        <f>0.6037810576/G55-0.0052863845*G55+0.000423961*G55^2+0.3189943526</f>
        <v>0.56906947192405255</v>
      </c>
      <c r="R56" s="593"/>
      <c r="S56" s="345">
        <f>C55*E56*F55*Q56/1000000*R55</f>
        <v>106.20275372562978</v>
      </c>
      <c r="T56" s="218">
        <f>0.2877659/G55-0.008903887*G55+0.000069093*G55^2+0.516185391</f>
        <v>0.31905100162406913</v>
      </c>
      <c r="U56" s="593"/>
      <c r="V56" s="345">
        <f>C55*E56*F55*T56*U55</f>
        <v>19757.108207577847</v>
      </c>
      <c r="W56" s="598"/>
      <c r="X56" s="598"/>
      <c r="Y56" s="598"/>
      <c r="Z56" s="595"/>
    </row>
    <row r="57" spans="1:26" ht="15" customHeight="1">
      <c r="A57" s="604"/>
      <c r="B57" s="588" t="s">
        <v>46</v>
      </c>
      <c r="C57" s="586">
        <f>'ｼｰﾄNO.3（表-3）59頁'!$F$30</f>
        <v>9</v>
      </c>
      <c r="D57" s="216" t="s">
        <v>65</v>
      </c>
      <c r="E57" s="342">
        <f>'ｼｰﾄNO.4（表-4）60頁'!G62</f>
        <v>148.19999999999999</v>
      </c>
      <c r="F57" s="590">
        <f>'ｼｰﾄNO.4（表-4）60頁'!C62/1000</f>
        <v>0.76100000000000001</v>
      </c>
      <c r="G57" s="590">
        <f>'ｼｰﾄNO.4（表-4）60頁'!C62/1000/('ｼｰﾄNO.4（表-4）60頁'!D62/3600)</f>
        <v>27.672727272727272</v>
      </c>
      <c r="H57" s="219">
        <f>-2.71095565/G57-0.09453616*G57+0.00089493*G57^2+3.15403637</f>
        <v>1.1253174555891423</v>
      </c>
      <c r="I57" s="592">
        <v>10000</v>
      </c>
      <c r="J57" s="343">
        <f t="shared" ref="J57" si="308">C57*E57*F57*H57/1000000*I57</f>
        <v>11.422217493435111</v>
      </c>
      <c r="K57" s="219">
        <f t="shared" ref="K57" si="309">1501.20185/G57-2.40935*G57+0.02115*G57^2+174.47635</f>
        <v>178.24773232685354</v>
      </c>
      <c r="L57" s="592">
        <v>2891</v>
      </c>
      <c r="M57" s="343">
        <f t="shared" ref="M57" si="310">C57*E57*F57*K57/1000000*L57</f>
        <v>523.05514091872021</v>
      </c>
      <c r="N57" s="219">
        <f>-0.25063622/G57-0.00657231*G57+0.00005332*G57^2+0.29056757</f>
        <v>0.14046805216606251</v>
      </c>
      <c r="O57" s="592">
        <v>840100</v>
      </c>
      <c r="P57" s="343">
        <f t="shared" ref="P57" si="311">C57*E57*F57*N57/1000000*O57</f>
        <v>119.77989134127135</v>
      </c>
      <c r="Q57" s="219">
        <f>0.093055673/G57-0.0002682273*G57+0.00000218*G57^2+0.0173678037</f>
        <v>1.4977344248710157E-2</v>
      </c>
      <c r="R57" s="592">
        <v>482200</v>
      </c>
      <c r="S57" s="343">
        <f t="shared" ref="S57" si="312">C57*E57*F57*Q57/1000000*R57</f>
        <v>7.3305639689226068</v>
      </c>
      <c r="T57" s="219">
        <f t="shared" ref="T57" si="313">0.630901162/G57-0.001006579*G57+0.000008915*G57^2+0.0072170055</f>
        <v>8.9878088083241922E-3</v>
      </c>
      <c r="U57" s="592">
        <v>160</v>
      </c>
      <c r="V57" s="343">
        <f t="shared" ref="V57" si="314">C57*E57*F57*T57*U57</f>
        <v>1459.6514999489723</v>
      </c>
      <c r="W57" s="598"/>
      <c r="X57" s="598"/>
      <c r="Y57" s="598"/>
      <c r="Z57" s="595"/>
    </row>
    <row r="58" spans="1:26" ht="15" customHeight="1">
      <c r="A58" s="604"/>
      <c r="B58" s="589"/>
      <c r="C58" s="587"/>
      <c r="D58" s="217" t="s">
        <v>66</v>
      </c>
      <c r="E58" s="344">
        <f>'ｼｰﾄNO.4（表-4）60頁'!G63</f>
        <v>7.8000000000000007</v>
      </c>
      <c r="F58" s="591"/>
      <c r="G58" s="591"/>
      <c r="H58" s="218">
        <f>12.28697452/G57-0.05907844*G57+0.00051753*G57^2+2.69979197</f>
        <v>1.9052546987913122</v>
      </c>
      <c r="I58" s="593"/>
      <c r="J58" s="345">
        <f t="shared" ref="J58" si="315">C57*E58*F57*H58/1000000*I57</f>
        <v>1.0178289756976926</v>
      </c>
      <c r="K58" s="218">
        <f t="shared" ref="K58" si="316">908.52069/G57-23.49889*G57+0.18396*G57^2+1364.81344</f>
        <v>888.23882956636658</v>
      </c>
      <c r="L58" s="593"/>
      <c r="M58" s="345">
        <f t="shared" ref="M58" si="317">C57*E58*F57*K58/1000000*L57</f>
        <v>137.18278491088728</v>
      </c>
      <c r="N58" s="218">
        <f>9.45345681/G57-0.14325844*G57+0.00124097*G57^2+5.98054622</f>
        <v>3.3081206580272831</v>
      </c>
      <c r="O58" s="593"/>
      <c r="P58" s="345">
        <f t="shared" ref="P58" si="318">C57*E58*F57*N58/1000000*O57</f>
        <v>148.46842277884443</v>
      </c>
      <c r="Q58" s="218">
        <f>0.6037810576/G57-0.0052863845*G57+0.000423961*G57^2+0.3189943526</f>
        <v>0.51918509274998492</v>
      </c>
      <c r="R58" s="593"/>
      <c r="S58" s="345">
        <f t="shared" ref="S58" si="319">C57*E58*F57*Q58/1000000*R57</f>
        <v>13.374303955412156</v>
      </c>
      <c r="T58" s="218">
        <f t="shared" ref="T58" si="320">0.2877659/G57-0.008903887*G57+0.000069093*G57^2+0.516185391</f>
        <v>0.33309947964734837</v>
      </c>
      <c r="U58" s="593"/>
      <c r="V58" s="345">
        <f t="shared" ref="V58" si="321">C57*E58*F57*T58*U57</f>
        <v>2847.1851234586525</v>
      </c>
      <c r="W58" s="598"/>
      <c r="X58" s="598"/>
      <c r="Y58" s="598"/>
      <c r="Z58" s="595"/>
    </row>
    <row r="59" spans="1:26" ht="15" customHeight="1">
      <c r="A59" s="604"/>
      <c r="B59" s="588" t="s">
        <v>47</v>
      </c>
      <c r="C59" s="586">
        <f>'ｼｰﾄNO.3（表-3）59頁'!$F$30</f>
        <v>9</v>
      </c>
      <c r="D59" s="216" t="s">
        <v>65</v>
      </c>
      <c r="E59" s="342">
        <f>'ｼｰﾄNO.4（表-4）60頁'!G64</f>
        <v>38.949999999999996</v>
      </c>
      <c r="F59" s="590">
        <f>'ｼｰﾄNO.4（表-4）60頁'!C64/1000</f>
        <v>0.82399999999999995</v>
      </c>
      <c r="G59" s="590">
        <f>'ｼｰﾄNO.4（表-4）60頁'!C64/1000/('ｼｰﾄNO.4（表-4）60頁'!D64/3600)</f>
        <v>21.495652173913044</v>
      </c>
      <c r="H59" s="219">
        <f>-2.71095565/G59-0.09453616*G59+0.00089493*G59^2+3.15403637</f>
        <v>1.4093175888998382</v>
      </c>
      <c r="I59" s="592">
        <v>10000</v>
      </c>
      <c r="J59" s="343">
        <f t="shared" ref="J59" si="322">C59*E59*F59*H59/1000000*I59</f>
        <v>4.0708589537000268</v>
      </c>
      <c r="K59" s="219">
        <f t="shared" ref="K59" si="323">1501.20185/G59-2.40935*G59+0.02115*G59^2+174.47635</f>
        <v>202.29589890885134</v>
      </c>
      <c r="L59" s="592">
        <v>2891</v>
      </c>
      <c r="M59" s="343">
        <f t="shared" ref="M59" si="324">C59*E59*F59*K59/1000000*L59</f>
        <v>168.93216710570454</v>
      </c>
      <c r="N59" s="219">
        <f>-0.25063622/G59-0.00657231*G59+0.00005332*G59^2+0.29056757</f>
        <v>0.16226882623412497</v>
      </c>
      <c r="O59" s="592">
        <v>840100</v>
      </c>
      <c r="P59" s="343">
        <f t="shared" ref="P59" si="325">C59*E59*F59*N59/1000000*O59</f>
        <v>39.377057750067387</v>
      </c>
      <c r="Q59" s="219">
        <f>0.093055673/G59-0.0002682273*G59+0.00000218*G59^2+0.0173678037</f>
        <v>1.693842670793911E-2</v>
      </c>
      <c r="R59" s="592">
        <v>482200</v>
      </c>
      <c r="S59" s="343">
        <f t="shared" ref="S59" si="326">C59*E59*F59*Q59/1000000*R59</f>
        <v>2.3592689848923825</v>
      </c>
      <c r="T59" s="219">
        <f t="shared" ref="T59" si="327">0.630901162/G59-0.001006579*G59+0.000008915*G59^2+0.0072170055</f>
        <v>1.9049401048235663E-2</v>
      </c>
      <c r="U59" s="592">
        <v>160</v>
      </c>
      <c r="V59" s="343">
        <f t="shared" ref="V59" si="328">C59*E59*F59*T59*U59</f>
        <v>880.39687213859588</v>
      </c>
      <c r="W59" s="598"/>
      <c r="X59" s="598"/>
      <c r="Y59" s="598"/>
      <c r="Z59" s="595"/>
    </row>
    <row r="60" spans="1:26" ht="15" customHeight="1">
      <c r="A60" s="604"/>
      <c r="B60" s="589"/>
      <c r="C60" s="587"/>
      <c r="D60" s="217" t="s">
        <v>66</v>
      </c>
      <c r="E60" s="344">
        <f>'ｼｰﾄNO.4（表-4）60頁'!G65</f>
        <v>2.0500000000000003</v>
      </c>
      <c r="F60" s="591"/>
      <c r="G60" s="591"/>
      <c r="H60" s="218">
        <f>12.28697452/G59-0.05907844*G59+0.00051753*G59^2+2.69979197</f>
        <v>2.2405966485023963</v>
      </c>
      <c r="I60" s="593"/>
      <c r="J60" s="345">
        <f t="shared" ref="J60" si="329">C59*E60*F59*H60/1000000*I59</f>
        <v>0.3406334272785223</v>
      </c>
      <c r="K60" s="218">
        <f t="shared" ref="K60" si="330">908.52069/G59-23.49889*G59+0.18396*G59^2+1364.81344</f>
        <v>986.95591840437248</v>
      </c>
      <c r="L60" s="593"/>
      <c r="M60" s="345">
        <f t="shared" ref="M60" si="331">C59*E60*F59*K60/1000000*L59</f>
        <v>43.377990524395329</v>
      </c>
      <c r="N60" s="218">
        <f>9.45345681/G59-0.14325844*G59+0.00124097*G59^2+5.98054622</f>
        <v>3.9143036220954515</v>
      </c>
      <c r="O60" s="593"/>
      <c r="P60" s="345">
        <f t="shared" ref="P60" si="332">C59*E60*F59*N60/1000000*O59</f>
        <v>49.992985926544499</v>
      </c>
      <c r="Q60" s="218">
        <f>0.6037810576/G59-0.0052863845*G59+0.000423961*G59^2+0.3189943526</f>
        <v>0.429345308195341</v>
      </c>
      <c r="R60" s="593"/>
      <c r="S60" s="345">
        <f t="shared" ref="S60" si="333">C59*E60*F59*Q60/1000000*R59</f>
        <v>3.1474403605605734</v>
      </c>
      <c r="T60" s="218">
        <f t="shared" ref="T60" si="334">0.2877659/G59-0.008903887*G59+0.000069093*G59^2+0.516185391</f>
        <v>0.37010302389931682</v>
      </c>
      <c r="U60" s="593"/>
      <c r="V60" s="345">
        <f t="shared" ref="V60" si="335">C59*E60*F59*T60*U59</f>
        <v>900.25636027784549</v>
      </c>
      <c r="W60" s="598"/>
      <c r="X60" s="598"/>
      <c r="Y60" s="598"/>
      <c r="Z60" s="595"/>
    </row>
    <row r="61" spans="1:26" ht="15" customHeight="1">
      <c r="A61" s="604"/>
      <c r="B61" s="588" t="s">
        <v>48</v>
      </c>
      <c r="C61" s="586">
        <f>'ｼｰﾄNO.3（表-3）59頁'!$F$30</f>
        <v>9</v>
      </c>
      <c r="D61" s="216" t="s">
        <v>65</v>
      </c>
      <c r="E61" s="342">
        <f>'ｼｰﾄNO.4（表-4）60頁'!G66</f>
        <v>755.25</v>
      </c>
      <c r="F61" s="590">
        <f>'ｼｰﾄNO.4（表-4）60頁'!C66/1000</f>
        <v>1.054</v>
      </c>
      <c r="G61" s="590">
        <f>'ｼｰﾄNO.4（表-4）60頁'!C66/1000/('ｼｰﾄNO.4（表-4）60頁'!D66/3600)</f>
        <v>28.529323308270676</v>
      </c>
      <c r="H61" s="219">
        <f>-2.71095565/G61-0.09453616*G61+0.00089493*G61^2+3.15403637</f>
        <v>1.0903636882647412</v>
      </c>
      <c r="I61" s="592">
        <v>10000</v>
      </c>
      <c r="J61" s="343">
        <f t="shared" ref="J61" si="336">C61*E61*F61*H61/1000000*I61</f>
        <v>78.116942073806186</v>
      </c>
      <c r="K61" s="219">
        <f t="shared" ref="K61" si="337">1501.20185/G61-2.40935*G61+0.02115*G61^2+174.47635</f>
        <v>175.57329072505902</v>
      </c>
      <c r="L61" s="592">
        <v>2891</v>
      </c>
      <c r="M61" s="343">
        <f t="shared" ref="M61" si="338">C61*E61*F61*K61/1000000*L61</f>
        <v>3636.4732313833683</v>
      </c>
      <c r="N61" s="219">
        <f>-0.25063622/G61-0.00657231*G61+0.00005332*G61^2+0.29056757</f>
        <v>0.13767713521514519</v>
      </c>
      <c r="O61" s="592">
        <v>840100</v>
      </c>
      <c r="P61" s="343">
        <f t="shared" ref="P61" si="339">C61*E61*F61*N61/1000000*O61</f>
        <v>828.6414613741905</v>
      </c>
      <c r="Q61" s="219">
        <f>0.093055673/G61-0.0002682273*G61+0.00000218*G61^2+0.0173678037</f>
        <v>1.4751566279329546E-2</v>
      </c>
      <c r="R61" s="592">
        <v>482200</v>
      </c>
      <c r="S61" s="343">
        <f t="shared" ref="S61" si="340">C61*E61*F61*Q61/1000000*R61</f>
        <v>50.961147113257219</v>
      </c>
      <c r="T61" s="219">
        <f t="shared" ref="T61" si="341">0.630901162/G61-0.001006579*G61+0.000008915*G61^2+0.0072170055</f>
        <v>7.8702348891022851E-3</v>
      </c>
      <c r="U61" s="592">
        <v>160</v>
      </c>
      <c r="V61" s="343">
        <f t="shared" ref="V61" si="342">C61*E61*F61*T61*U61</f>
        <v>9021.5576994156545</v>
      </c>
      <c r="W61" s="598"/>
      <c r="X61" s="598"/>
      <c r="Y61" s="598"/>
      <c r="Z61" s="595"/>
    </row>
    <row r="62" spans="1:26" ht="15" customHeight="1">
      <c r="A62" s="604"/>
      <c r="B62" s="589"/>
      <c r="C62" s="587"/>
      <c r="D62" s="217" t="s">
        <v>66</v>
      </c>
      <c r="E62" s="344">
        <f>'ｼｰﾄNO.4（表-4）60頁'!G67</f>
        <v>39.75</v>
      </c>
      <c r="F62" s="591"/>
      <c r="G62" s="591"/>
      <c r="H62" s="218">
        <f>12.28697452/G61-0.05907844*G61+0.00051753*G61^2+2.69979197</f>
        <v>1.8662320493584521</v>
      </c>
      <c r="I62" s="593"/>
      <c r="J62" s="345">
        <f t="shared" ref="J62" si="343">C61*E62*F61*H62/1000000*I61</f>
        <v>7.0369731950351753</v>
      </c>
      <c r="K62" s="218">
        <f t="shared" ref="K62" si="344">908.52069/G61-23.49889*G61+0.18396*G61^2+1364.81344</f>
        <v>875.98030783410718</v>
      </c>
      <c r="L62" s="593"/>
      <c r="M62" s="345">
        <f t="shared" ref="M62" si="345">C61*E62*F61*K62/1000000*L61</f>
        <v>954.91054281683989</v>
      </c>
      <c r="N62" s="218">
        <f>9.45345681/G61-0.14325844*G61+0.00124097*G61^2+5.98054622</f>
        <v>3.2348923182010179</v>
      </c>
      <c r="O62" s="593"/>
      <c r="P62" s="345">
        <f t="shared" ref="P62" si="346">C61*E62*F61*N62/1000000*O61</f>
        <v>1024.7338126312961</v>
      </c>
      <c r="Q62" s="218">
        <f>0.6037810576/G61-0.0052863845*G61+0.000423961*G61^2+0.3189943526</f>
        <v>0.53441221276099871</v>
      </c>
      <c r="R62" s="593"/>
      <c r="S62" s="345">
        <f t="shared" ref="S62" si="347">C61*E62*F61*Q62/1000000*R61</f>
        <v>97.168127519970341</v>
      </c>
      <c r="T62" s="218">
        <f t="shared" ref="T62" si="348">0.2877659/G61-0.008903887*G61+0.000069093*G61^2+0.516185391</f>
        <v>0.32848652381892585</v>
      </c>
      <c r="U62" s="593"/>
      <c r="V62" s="345">
        <f t="shared" ref="V62" si="349">C61*E62*F61*T62*U61</f>
        <v>19817.907329058664</v>
      </c>
      <c r="W62" s="598"/>
      <c r="X62" s="598"/>
      <c r="Y62" s="598"/>
      <c r="Z62" s="595"/>
    </row>
    <row r="63" spans="1:26" ht="15" customHeight="1">
      <c r="A63" s="604"/>
      <c r="B63" s="588" t="s">
        <v>49</v>
      </c>
      <c r="C63" s="586">
        <f>'ｼｰﾄNO.3（表-3）59頁'!$F$30</f>
        <v>9</v>
      </c>
      <c r="D63" s="216" t="s">
        <v>65</v>
      </c>
      <c r="E63" s="342">
        <f>'ｼｰﾄNO.4（表-4）60頁'!G68</f>
        <v>38.949999999999996</v>
      </c>
      <c r="F63" s="590">
        <f>'ｼｰﾄNO.4（表-4）60頁'!C68/1000</f>
        <v>0.84799999999999998</v>
      </c>
      <c r="G63" s="590">
        <f>'ｼｰﾄNO.4（表-4）60頁'!C68/1000/('ｼｰﾄNO.4（表-4）60頁'!D68/3600)</f>
        <v>22.953383458646616</v>
      </c>
      <c r="H63" s="219">
        <f>-2.71095565/G63-0.09453616*G63+0.00089493*G63^2+3.15403637</f>
        <v>1.3375054836994751</v>
      </c>
      <c r="I63" s="592">
        <v>10000</v>
      </c>
      <c r="J63" s="343">
        <f t="shared" ref="J63" si="350">C63*E63*F63*H63/1000000*I63</f>
        <v>3.9759544011960162</v>
      </c>
      <c r="K63" s="219">
        <f t="shared" ref="K63" si="351">1501.20185/G63-2.40935*G63+0.02115*G63^2+174.47635</f>
        <v>195.71886153158169</v>
      </c>
      <c r="L63" s="592">
        <v>2891</v>
      </c>
      <c r="M63" s="343">
        <f t="shared" ref="M63" si="352">C63*E63*F63*K63/1000000*L63</f>
        <v>168.20023422839981</v>
      </c>
      <c r="N63" s="219">
        <f>-0.25063622/G63-0.00657231*G63+0.00005332*G63^2+0.29056757</f>
        <v>0.15688351852819593</v>
      </c>
      <c r="O63" s="592">
        <v>840100</v>
      </c>
      <c r="P63" s="343">
        <f t="shared" ref="P63" si="353">C63*E63*F63*N63/1000000*O63</f>
        <v>39.179070588533705</v>
      </c>
      <c r="Q63" s="219">
        <f>0.093055673/G63-0.0002682273*G63+0.00000218*G63^2+0.0173678037</f>
        <v>1.6413745392387758E-2</v>
      </c>
      <c r="R63" s="592">
        <v>482200</v>
      </c>
      <c r="S63" s="343">
        <f t="shared" ref="S63" si="354">C63*E63*F63*Q63/1000000*R63</f>
        <v>2.3527767625968998</v>
      </c>
      <c r="T63" s="219">
        <f t="shared" ref="T63" si="355">0.630901162/G63-0.001006579*G63+0.000008915*G63^2+0.0072170055</f>
        <v>1.6295743619608418E-2</v>
      </c>
      <c r="U63" s="592">
        <v>160</v>
      </c>
      <c r="V63" s="343">
        <f t="shared" ref="V63" si="356">C63*E63*F63*T63*U63</f>
        <v>775.06832657983409</v>
      </c>
      <c r="W63" s="598"/>
      <c r="X63" s="598"/>
      <c r="Y63" s="598"/>
      <c r="Z63" s="595"/>
    </row>
    <row r="64" spans="1:26" ht="15" customHeight="1">
      <c r="A64" s="604"/>
      <c r="B64" s="589"/>
      <c r="C64" s="587"/>
      <c r="D64" s="217" t="s">
        <v>66</v>
      </c>
      <c r="E64" s="344">
        <f>'ｼｰﾄNO.4（表-4）60頁'!G69</f>
        <v>2.0500000000000003</v>
      </c>
      <c r="F64" s="591"/>
      <c r="G64" s="591"/>
      <c r="H64" s="218">
        <f>12.28697452/G63-0.05907844*G63+0.00051753*G63^2+2.69979197</f>
        <v>2.1517078414008948</v>
      </c>
      <c r="I64" s="593"/>
      <c r="J64" s="345">
        <f t="shared" ref="J64" si="357">C63*E64*F63*H64/1000000*I63</f>
        <v>0.3366476020342184</v>
      </c>
      <c r="K64" s="218">
        <f t="shared" ref="K64" si="358">908.52069/G63-23.49889*G63+0.18396*G63^2+1364.81344</f>
        <v>961.93629293791844</v>
      </c>
      <c r="L64" s="593"/>
      <c r="M64" s="345">
        <f t="shared" ref="M64" si="359">C63*E64*F63*K64/1000000*L63</f>
        <v>43.509753713706438</v>
      </c>
      <c r="N64" s="218">
        <f>9.45345681/G63-0.14325844*G63+0.00124097*G63^2+5.98054622</f>
        <v>3.7579496629585218</v>
      </c>
      <c r="O64" s="593"/>
      <c r="P64" s="345">
        <f t="shared" ref="P64" si="360">C63*E64*F63*N64/1000000*O63</f>
        <v>49.393996425023118</v>
      </c>
      <c r="Q64" s="218">
        <f>0.6037810576/G63-0.0052863845*G63+0.000423961*G63^2+0.3189943526</f>
        <v>0.44732577176632693</v>
      </c>
      <c r="R64" s="593"/>
      <c r="S64" s="345">
        <f t="shared" ref="S64" si="361">C63*E64*F63*Q64/1000000*R63</f>
        <v>3.3747635416871216</v>
      </c>
      <c r="T64" s="218">
        <f t="shared" ref="T64" si="362">0.2877659/G63-0.008903887*G63+0.000069093*G63^2+0.516185391</f>
        <v>0.36075021611404623</v>
      </c>
      <c r="U64" s="593"/>
      <c r="V64" s="345">
        <f t="shared" ref="V64" si="363">C63*E64*F63*T64*U63</f>
        <v>903.0645729974276</v>
      </c>
      <c r="W64" s="598"/>
      <c r="X64" s="598"/>
      <c r="Y64" s="598"/>
      <c r="Z64" s="595"/>
    </row>
    <row r="65" spans="1:26" ht="15" customHeight="1">
      <c r="A65" s="604"/>
      <c r="B65" s="588" t="s">
        <v>50</v>
      </c>
      <c r="C65" s="586">
        <f>'ｼｰﾄNO.3（表-3）59頁'!$F$30</f>
        <v>9</v>
      </c>
      <c r="D65" s="216" t="s">
        <v>65</v>
      </c>
      <c r="E65" s="342">
        <f>'ｼｰﾄNO.4（表-4）60頁'!G70</f>
        <v>144.4</v>
      </c>
      <c r="F65" s="590">
        <f>'ｼｰﾄNO.4（表-4）60頁'!C70/1000</f>
        <v>0.91</v>
      </c>
      <c r="G65" s="590">
        <f>'ｼｰﾄNO.4（表-4）60頁'!C70/1000/('ｼｰﾄNO.4（表-4）60頁'!D70/3600)</f>
        <v>27.3</v>
      </c>
      <c r="H65" s="219">
        <f>-2.71095565/G65-0.09453616*G65+0.00089493*G65^2+3.15403637</f>
        <v>1.1408791769380953</v>
      </c>
      <c r="I65" s="592">
        <v>10000</v>
      </c>
      <c r="J65" s="343">
        <f t="shared" ref="J65" si="364">C65*E65*F65*H65/1000000*I65</f>
        <v>13.492447862973615</v>
      </c>
      <c r="K65" s="219">
        <f t="shared" ref="K65" si="365">1501.20185/G65-2.40935*G65+0.02115*G65^2+174.47635</f>
        <v>179.45305725457874</v>
      </c>
      <c r="L65" s="592">
        <v>2891</v>
      </c>
      <c r="M65" s="343">
        <f t="shared" ref="M65" si="366">C65*E65*F65*K65/1000000*L65</f>
        <v>613.55012406367155</v>
      </c>
      <c r="N65" s="219">
        <f>-0.25063622/G65-0.00657231*G65+0.00005332*G65^2+0.29056757</f>
        <v>0.14170155588058608</v>
      </c>
      <c r="O65" s="592">
        <v>840100</v>
      </c>
      <c r="P65" s="343">
        <f t="shared" ref="P65" si="367">C65*E65*F65*N65/1000000*O65</f>
        <v>140.78510157805403</v>
      </c>
      <c r="Q65" s="219">
        <f>0.093055673/G65-0.0002682273*G65+0.00000218*G65^2+0.0173678037</f>
        <v>1.5078563320622712E-2</v>
      </c>
      <c r="R65" s="592">
        <v>482200</v>
      </c>
      <c r="S65" s="343">
        <f t="shared" ref="S65" si="368">C65*E65*F65*Q65/1000000*R65</f>
        <v>8.5988082633837681</v>
      </c>
      <c r="T65" s="219">
        <f t="shared" ref="T65" si="369">0.630901162/G65-0.001006579*G65+0.000008915*G65^2+0.0072170055</f>
        <v>9.4915918239926733E-3</v>
      </c>
      <c r="U65" s="592">
        <v>160</v>
      </c>
      <c r="V65" s="343">
        <f t="shared" ref="V65" si="370">C65*E65*F65*T65*U65</f>
        <v>1796.0157101375044</v>
      </c>
      <c r="W65" s="598"/>
      <c r="X65" s="598"/>
      <c r="Y65" s="598"/>
      <c r="Z65" s="595"/>
    </row>
    <row r="66" spans="1:26" ht="15" customHeight="1">
      <c r="A66" s="604"/>
      <c r="B66" s="589"/>
      <c r="C66" s="587"/>
      <c r="D66" s="217" t="s">
        <v>66</v>
      </c>
      <c r="E66" s="344">
        <f>'ｼｰﾄNO.4（表-4）60頁'!G71</f>
        <v>7.6000000000000005</v>
      </c>
      <c r="F66" s="591"/>
      <c r="G66" s="591"/>
      <c r="H66" s="218">
        <f>12.28697452/G65-0.05907844*G65+0.00051753*G65^2+2.69979197</f>
        <v>1.9227328184399268</v>
      </c>
      <c r="I66" s="593"/>
      <c r="J66" s="345">
        <f t="shared" ref="J66" si="371">C65*E66*F65*H66/1000000*I65</f>
        <v>1.1967858155097482</v>
      </c>
      <c r="K66" s="218">
        <f t="shared" ref="K66" si="372">908.52069/G65-23.49889*G65+0.18396*G65^2+1364.81344</f>
        <v>893.67643755384609</v>
      </c>
      <c r="L66" s="593"/>
      <c r="M66" s="345">
        <f t="shared" ref="M66" si="373">C65*E66*F65*K66/1000000*L65</f>
        <v>160.81475495378274</v>
      </c>
      <c r="N66" s="218">
        <f>9.45345681/G65-0.14325844*G65+0.00124097*G65^2+5.98054622</f>
        <v>3.3407538085307693</v>
      </c>
      <c r="O66" s="593"/>
      <c r="P66" s="345">
        <f t="shared" ref="P66" si="374">C65*E66*F65*N66/1000000*O65</f>
        <v>174.69197343688478</v>
      </c>
      <c r="Q66" s="218">
        <f>0.6037810576/G65-0.0052863845*G65+0.000423961*G65^2+0.3189943526</f>
        <v>0.51276647169641021</v>
      </c>
      <c r="R66" s="593"/>
      <c r="S66" s="345">
        <f t="shared" ref="S66" si="375">C65*E66*F65*Q66/1000000*R65</f>
        <v>15.39020200663165</v>
      </c>
      <c r="T66" s="218">
        <f t="shared" ref="T66" si="376">0.2877659/G65-0.008903887*G65+0.000069093*G65^2+0.516185391</f>
        <v>0.33514447332787556</v>
      </c>
      <c r="U66" s="593"/>
      <c r="V66" s="345">
        <f t="shared" ref="V66" si="377">C65*E66*F65*T66*U65</f>
        <v>3337.7172156512461</v>
      </c>
      <c r="W66" s="598"/>
      <c r="X66" s="598"/>
      <c r="Y66" s="598"/>
      <c r="Z66" s="595"/>
    </row>
    <row r="67" spans="1:26" ht="15" customHeight="1">
      <c r="A67" s="604"/>
      <c r="B67" s="588" t="s">
        <v>51</v>
      </c>
      <c r="C67" s="586">
        <f>'ｼｰﾄNO.3（表-3）59頁'!$F$30</f>
        <v>9</v>
      </c>
      <c r="D67" s="216" t="s">
        <v>65</v>
      </c>
      <c r="E67" s="342">
        <f>'ｼｰﾄNO.4（表-4）60頁'!G72</f>
        <v>44.65</v>
      </c>
      <c r="F67" s="590">
        <f>'ｼｰﾄNO.4（表-4）60頁'!C72/1000</f>
        <v>0.76100000000000001</v>
      </c>
      <c r="G67" s="590">
        <f>'ｼｰﾄNO.4（表-4）60頁'!C72/1000/('ｼｰﾄNO.4（表-4）60頁'!D72/3600)</f>
        <v>21.916799999999999</v>
      </c>
      <c r="H67" s="219">
        <f>-2.71095565/G67-0.09453616*G67+0.00089493*G67^2+3.15403637</f>
        <v>1.3882893722770886</v>
      </c>
      <c r="I67" s="592">
        <v>10000</v>
      </c>
      <c r="J67" s="343">
        <f t="shared" ref="J67" si="378">C67*E67*F67*H67/1000000*I67</f>
        <v>4.2454978811390598</v>
      </c>
      <c r="K67" s="219">
        <f t="shared" ref="K67" si="379">1501.20185/G67-2.40935*G67+0.02115*G67^2+174.47635</f>
        <v>200.32591360394514</v>
      </c>
      <c r="L67" s="592">
        <v>2891</v>
      </c>
      <c r="M67" s="343">
        <f t="shared" ref="M67" si="380">C67*E67*F67*K67/1000000*L67</f>
        <v>177.10623598922723</v>
      </c>
      <c r="N67" s="219">
        <f>-0.25063622/G67-0.00657231*G67+0.00005332*G67^2+0.29056757</f>
        <v>0.16069981784537193</v>
      </c>
      <c r="O67" s="592">
        <v>840100</v>
      </c>
      <c r="P67" s="343">
        <f t="shared" ref="P67" si="381">C67*E67*F67*N67/1000000*O67</f>
        <v>41.28525759075432</v>
      </c>
      <c r="Q67" s="219">
        <f>0.093055673/G67-0.0002682273*G67+0.00000218*G67^2+0.0173678037</f>
        <v>1.6782134548046151E-2</v>
      </c>
      <c r="R67" s="592">
        <v>482200</v>
      </c>
      <c r="S67" s="343">
        <f t="shared" ref="S67" si="382">C67*E67*F67*Q67/1000000*R67</f>
        <v>2.4747027112493902</v>
      </c>
      <c r="T67" s="219">
        <f t="shared" ref="T67" si="383">0.630901162/G67-0.001006579*G67+0.000008915*G67^2+0.0072170055</f>
        <v>1.8224490233544929E-2</v>
      </c>
      <c r="U67" s="592">
        <v>160</v>
      </c>
      <c r="V67" s="343">
        <f t="shared" ref="V67" si="384">C67*E67*F67*T67*U67</f>
        <v>891.71074810661946</v>
      </c>
      <c r="W67" s="598"/>
      <c r="X67" s="598"/>
      <c r="Y67" s="598"/>
      <c r="Z67" s="595"/>
    </row>
    <row r="68" spans="1:26" ht="15" customHeight="1">
      <c r="A68" s="604"/>
      <c r="B68" s="589"/>
      <c r="C68" s="587"/>
      <c r="D68" s="217" t="s">
        <v>66</v>
      </c>
      <c r="E68" s="344">
        <f>'ｼｰﾄNO.4（表-4）60頁'!G73</f>
        <v>2.35</v>
      </c>
      <c r="F68" s="591"/>
      <c r="G68" s="591"/>
      <c r="H68" s="218">
        <f>12.28697452/G67-0.05907844*G67+0.00051753*G67^2+2.69979197</f>
        <v>2.2141941457999113</v>
      </c>
      <c r="I68" s="593"/>
      <c r="J68" s="345">
        <f t="shared" ref="J68" si="385">C67*E68*F67*H68/1000000*I67</f>
        <v>0.35637786905771446</v>
      </c>
      <c r="K68" s="218">
        <f t="shared" ref="K68" si="386">908.52069/G67-23.49889*G67+0.18396*G67^2+1364.81344</f>
        <v>979.61060362203341</v>
      </c>
      <c r="L68" s="593"/>
      <c r="M68" s="345">
        <f t="shared" ref="M68" si="387">C67*E68*F67*K68/1000000*L67</f>
        <v>45.582338043510809</v>
      </c>
      <c r="N68" s="218">
        <f>9.45345681/G67-0.14325844*G67+0.00124097*G67^2+5.98054622</f>
        <v>3.8682085778356057</v>
      </c>
      <c r="O68" s="593"/>
      <c r="P68" s="345">
        <f t="shared" ref="P68" si="388">C67*E68*F67*N68/1000000*O67</f>
        <v>52.304119664631784</v>
      </c>
      <c r="Q68" s="218">
        <f>0.6037810576/G67-0.0052863845*G67+0.000423961*G67^2+0.3189943526</f>
        <v>0.43433052111818043</v>
      </c>
      <c r="R68" s="593"/>
      <c r="S68" s="345">
        <f t="shared" ref="S68" si="389">C67*E68*F67*Q68/1000000*R67</f>
        <v>3.370874498499481</v>
      </c>
      <c r="T68" s="218">
        <f t="shared" ref="T68" si="390">0.2877659/G67-0.008903887*G67+0.000069093*G67^2+0.516185391</f>
        <v>0.36735915818629394</v>
      </c>
      <c r="U68" s="593"/>
      <c r="V68" s="345">
        <f t="shared" ref="V68" si="391">C67*E68*F67*T68*U67</f>
        <v>946.03212078114075</v>
      </c>
      <c r="W68" s="598"/>
      <c r="X68" s="598"/>
      <c r="Y68" s="598"/>
      <c r="Z68" s="595"/>
    </row>
    <row r="69" spans="1:26" ht="15" customHeight="1">
      <c r="A69" s="604"/>
      <c r="B69" s="588" t="s">
        <v>52</v>
      </c>
      <c r="C69" s="586">
        <f>'ｼｰﾄNO.3（表-3）59頁'!$F$30</f>
        <v>9</v>
      </c>
      <c r="D69" s="216" t="s">
        <v>65</v>
      </c>
      <c r="E69" s="342">
        <f>'ｼｰﾄNO.4（表-4）60頁'!G74</f>
        <v>158.65</v>
      </c>
      <c r="F69" s="590">
        <f>'ｼｰﾄNO.4（表-4）60頁'!C74/1000</f>
        <v>0.84799999999999998</v>
      </c>
      <c r="G69" s="590">
        <f>'ｼｰﾄNO.4（表-4）60頁'!C74/1000/('ｼｰﾄNO.4（表-4）60頁'!D74/3600)</f>
        <v>28.530841121495325</v>
      </c>
      <c r="H69" s="219">
        <f>-2.71095565/G69-0.09453616*G69+0.00089493*G69^2+3.15403637</f>
        <v>1.0903027620976071</v>
      </c>
      <c r="I69" s="592">
        <v>10000</v>
      </c>
      <c r="J69" s="343">
        <f t="shared" ref="J69" si="392">C69*E69*F69*H69/1000000*I69</f>
        <v>13.20156901434186</v>
      </c>
      <c r="K69" s="219">
        <f t="shared" ref="K69" si="393">1501.20185/G69-2.40935*G69+0.02115*G69^2+174.47635</f>
        <v>175.56866620042143</v>
      </c>
      <c r="L69" s="592">
        <v>2891</v>
      </c>
      <c r="M69" s="343">
        <f t="shared" ref="M69" si="394">C69*E69*F69*K69/1000000*L69</f>
        <v>614.57308929297949</v>
      </c>
      <c r="N69" s="219">
        <f>-0.25063622/G69-0.00657231*G69+0.00005332*G69^2+0.29056757</f>
        <v>0.13767224490879842</v>
      </c>
      <c r="O69" s="592">
        <v>840100</v>
      </c>
      <c r="P69" s="343">
        <f t="shared" ref="P69" si="395">C69*E69*F69*N69/1000000*O69</f>
        <v>140.04119789130451</v>
      </c>
      <c r="Q69" s="219">
        <f>0.093055673/G69-0.0002682273*G69+0.00000218*G69^2+0.0173678037</f>
        <v>1.4751174440693522E-2</v>
      </c>
      <c r="R69" s="592">
        <v>482200</v>
      </c>
      <c r="S69" s="343">
        <f t="shared" ref="S69" si="396">C69*E69*F69*Q69/1000000*R69</f>
        <v>8.6125596532422648</v>
      </c>
      <c r="T69" s="219">
        <f t="shared" ref="T69" si="397">0.630901162/G69-0.001006579*G69+0.000008915*G69^2+0.0072170055</f>
        <v>7.8683027382883859E-3</v>
      </c>
      <c r="U69" s="592">
        <v>160</v>
      </c>
      <c r="V69" s="343">
        <f t="shared" ref="V69" si="398">C69*E69*F69*T69*U69</f>
        <v>1524.3317028808931</v>
      </c>
      <c r="W69" s="598"/>
      <c r="X69" s="598"/>
      <c r="Y69" s="598"/>
      <c r="Z69" s="595"/>
    </row>
    <row r="70" spans="1:26" ht="15" customHeight="1">
      <c r="A70" s="604"/>
      <c r="B70" s="589"/>
      <c r="C70" s="587"/>
      <c r="D70" s="217" t="s">
        <v>66</v>
      </c>
      <c r="E70" s="344">
        <f>'ｼｰﾄNO.4（表-4）60頁'!G75</f>
        <v>8.35</v>
      </c>
      <c r="F70" s="591"/>
      <c r="G70" s="591"/>
      <c r="H70" s="218">
        <f>12.28697452/G69-0.05907844*G69+0.00051753*G69^2+2.69979197</f>
        <v>1.8661642891756698</v>
      </c>
      <c r="I70" s="593"/>
      <c r="J70" s="345">
        <f t="shared" ref="J70" si="399">C69*E70*F69*H70/1000000*I69</f>
        <v>1.1892542488915572</v>
      </c>
      <c r="K70" s="218">
        <f t="shared" ref="K70" si="400">908.52069/G69-23.49889*G69+0.18396*G69^2+1364.81344</f>
        <v>875.95887894004875</v>
      </c>
      <c r="L70" s="593"/>
      <c r="M70" s="345">
        <f t="shared" ref="M70" si="401">C69*E70*F69*K70/1000000*L69</f>
        <v>161.3825776829361</v>
      </c>
      <c r="N70" s="218">
        <f>9.45345681/G69-0.14325844*G69+0.00124097*G69^2+5.98054622</f>
        <v>3.2347647269327133</v>
      </c>
      <c r="O70" s="593"/>
      <c r="P70" s="345">
        <f t="shared" ref="P70" si="402">C69*E70*F69*N70/1000000*O69</f>
        <v>173.18031316306718</v>
      </c>
      <c r="Q70" s="218">
        <f>0.6037810576/G69-0.0052863845*G69+0.000423961*G69^2+0.3189943526</f>
        <v>0.5344397809889011</v>
      </c>
      <c r="R70" s="593"/>
      <c r="S70" s="345">
        <f t="shared" ref="S70" si="403">C69*E70*F69*Q70/1000000*R69</f>
        <v>16.422936761081509</v>
      </c>
      <c r="T70" s="218">
        <f t="shared" ref="T70" si="404">0.2877659/G69-0.008903887*G69+0.000069093*G69^2+0.516185391</f>
        <v>0.32847845669511644</v>
      </c>
      <c r="U70" s="593"/>
      <c r="V70" s="345">
        <f t="shared" ref="V70" si="405">C69*E70*F69*T70*U69</f>
        <v>3349.2819688801633</v>
      </c>
      <c r="W70" s="598"/>
      <c r="X70" s="598"/>
      <c r="Y70" s="598"/>
      <c r="Z70" s="595"/>
    </row>
    <row r="71" spans="1:26" ht="15" customHeight="1">
      <c r="A71" s="604"/>
      <c r="B71" s="588" t="s">
        <v>53</v>
      </c>
      <c r="C71" s="586">
        <f>'ｼｰﾄNO.3（表-3）59頁'!$F$30</f>
        <v>9</v>
      </c>
      <c r="D71" s="216" t="s">
        <v>65</v>
      </c>
      <c r="E71" s="342">
        <f>'ｼｰﾄNO.4（表-4）60頁'!G76</f>
        <v>747.65</v>
      </c>
      <c r="F71" s="590">
        <f>'ｼｰﾄNO.4（表-4）60頁'!C76/1000</f>
        <v>0.61699999999999999</v>
      </c>
      <c r="G71" s="590">
        <f>'ｼｰﾄNO.4（表-4）60頁'!C76/1000/('ｼｰﾄNO.4（表-4）60頁'!D76/3600)</f>
        <v>26.131764705882354</v>
      </c>
      <c r="H71" s="219">
        <f>-2.71095565/G71-0.09453616*G71+0.00089493*G71^2+3.15403637</f>
        <v>1.1910179733605875</v>
      </c>
      <c r="I71" s="592">
        <v>10000</v>
      </c>
      <c r="J71" s="343">
        <f t="shared" ref="J71" si="406">C71*E71*F71*H71/1000000*I71</f>
        <v>49.447498559592383</v>
      </c>
      <c r="K71" s="219">
        <f t="shared" ref="K71" si="407">1501.20185/G71-2.40935*G71+0.02115*G71^2+174.47635</f>
        <v>183.40586129931432</v>
      </c>
      <c r="L71" s="592">
        <v>2891</v>
      </c>
      <c r="M71" s="343">
        <f t="shared" ref="M71" si="408">C71*E71*F71*K71/1000000*L71</f>
        <v>2201.3409552061012</v>
      </c>
      <c r="N71" s="219">
        <f>-0.25063622/G71-0.00657231*G71+0.00005332*G71^2+0.29056757</f>
        <v>0.14564084594972018</v>
      </c>
      <c r="O71" s="592">
        <v>840100</v>
      </c>
      <c r="P71" s="343">
        <f t="shared" ref="P71" si="409">C71*E71*F71*N71/1000000*O71</f>
        <v>507.97248487754717</v>
      </c>
      <c r="Q71" s="219">
        <f>0.093055673/G71-0.0002682273*G71+0.00000218*G71^2+0.0173678037</f>
        <v>1.5408223265116677E-2</v>
      </c>
      <c r="R71" s="592">
        <v>482200</v>
      </c>
      <c r="S71" s="343">
        <f t="shared" ref="S71" si="410">C71*E71*F71*Q71/1000000*R71</f>
        <v>30.846491902892641</v>
      </c>
      <c r="T71" s="219">
        <f t="shared" ref="T71" si="411">0.630901162/G71-0.001006579*G71+0.000008915*G71^2+0.0072170055</f>
        <v>1.114417343926544E-2</v>
      </c>
      <c r="U71" s="592">
        <v>160</v>
      </c>
      <c r="V71" s="343">
        <f t="shared" ref="V71" si="412">C71*E71*F71*T71*U71</f>
        <v>7402.7631812282189</v>
      </c>
      <c r="W71" s="598"/>
      <c r="X71" s="598"/>
      <c r="Y71" s="598"/>
      <c r="Z71" s="595"/>
    </row>
    <row r="72" spans="1:26" ht="15" customHeight="1">
      <c r="A72" s="604"/>
      <c r="B72" s="589"/>
      <c r="C72" s="587"/>
      <c r="D72" s="217" t="s">
        <v>66</v>
      </c>
      <c r="E72" s="344">
        <f>'ｼｰﾄNO.4（表-4）60頁'!G77</f>
        <v>39.35</v>
      </c>
      <c r="F72" s="591"/>
      <c r="G72" s="591"/>
      <c r="H72" s="218">
        <f>12.28697452/G71-0.05907844*G71+0.00051753*G71^2+2.69979197</f>
        <v>1.9795664000408051</v>
      </c>
      <c r="I72" s="593"/>
      <c r="J72" s="345">
        <f t="shared" ref="J72" si="413">C71*E72*F71*H72/1000000*I71</f>
        <v>4.325561428344364</v>
      </c>
      <c r="K72" s="218">
        <f t="shared" ref="K72" si="414">908.52069/G71-23.49889*G71+0.18396*G71^2+1364.81344</f>
        <v>911.13348937866317</v>
      </c>
      <c r="L72" s="593"/>
      <c r="M72" s="345">
        <f t="shared" ref="M72" si="415">C71*E72*F71*K72/1000000*L71</f>
        <v>575.57578115490946</v>
      </c>
      <c r="N72" s="218">
        <f>9.45345681/G71-0.14325844*G71+0.00124097*G71^2+5.98054622</f>
        <v>3.4461316069828696</v>
      </c>
      <c r="O72" s="593"/>
      <c r="P72" s="345">
        <f t="shared" ref="P72" si="416">C71*E72*F71*N72/1000000*O71</f>
        <v>632.6088363752184</v>
      </c>
      <c r="Q72" s="218">
        <f>0.6037810576/G71-0.0052863845*G71+0.000423961*G71^2+0.3189943526</f>
        <v>0.49346692837210338</v>
      </c>
      <c r="R72" s="593"/>
      <c r="S72" s="345">
        <f t="shared" ref="S72" si="417">C71*E72*F71*Q72/1000000*R71</f>
        <v>51.99453137002736</v>
      </c>
      <c r="T72" s="218">
        <f t="shared" ref="T72" si="418">0.2877659/G71-0.008903887*G71+0.000069093*G71^2+0.516185391</f>
        <v>0.34170469876159476</v>
      </c>
      <c r="U72" s="593"/>
      <c r="V72" s="345">
        <f t="shared" ref="V72" si="419">C71*E72*F71*T72*U71</f>
        <v>11946.573066236862</v>
      </c>
      <c r="W72" s="598"/>
      <c r="X72" s="598"/>
      <c r="Y72" s="598"/>
      <c r="Z72" s="595"/>
    </row>
    <row r="73" spans="1:26" ht="15" customHeight="1">
      <c r="A73" s="604"/>
      <c r="B73" s="588" t="s">
        <v>54</v>
      </c>
      <c r="C73" s="586">
        <f>'ｼｰﾄNO.3（表-3）59頁'!$F$30</f>
        <v>9</v>
      </c>
      <c r="D73" s="216" t="s">
        <v>65</v>
      </c>
      <c r="E73" s="342">
        <f>'ｼｰﾄNO.4（表-4）60頁'!G78</f>
        <v>133</v>
      </c>
      <c r="F73" s="590">
        <f>'ｼｰﾄNO.4（表-4）60頁'!C78/1000</f>
        <v>0.82399999999999995</v>
      </c>
      <c r="G73" s="590">
        <f>'ｼｰﾄNO.4（表-4）60頁'!C78/1000/('ｼｰﾄNO.4（表-4）60頁'!D78/3600)</f>
        <v>27.984905660377358</v>
      </c>
      <c r="H73" s="219">
        <f>-2.71095565/G73-0.09453616*G73+0.00089493*G73^2+3.15403637</f>
        <v>1.1124476388923368</v>
      </c>
      <c r="I73" s="592">
        <v>10000</v>
      </c>
      <c r="J73" s="343">
        <f t="shared" ref="J73" si="420">C73*E73*F73*H73/1000000*I73</f>
        <v>10.972382547734007</v>
      </c>
      <c r="K73" s="219">
        <f t="shared" ref="K73" si="421">1501.20185/G73-2.40935*G73+0.02115*G73^2+174.47635</f>
        <v>177.25791462067843</v>
      </c>
      <c r="L73" s="592">
        <v>2891</v>
      </c>
      <c r="M73" s="343">
        <f t="shared" ref="M73" si="422">C73*E73*F73*K73/1000000*L73</f>
        <v>505.44637879504728</v>
      </c>
      <c r="N73" s="219">
        <f>-0.25063622/G73-0.00657231*G73+0.00005332*G73^2+0.29056757</f>
        <v>0.13944379466769591</v>
      </c>
      <c r="O73" s="592">
        <v>840100</v>
      </c>
      <c r="P73" s="343">
        <f t="shared" ref="P73" si="423">C73*E73*F73*N73/1000000*O73</f>
        <v>115.54510178179001</v>
      </c>
      <c r="Q73" s="219">
        <f>0.093055673/G73-0.0002682273*G73+0.00000218*G73^2+0.0173678037</f>
        <v>1.4893975252273366E-2</v>
      </c>
      <c r="R73" s="592">
        <v>482200</v>
      </c>
      <c r="S73" s="343">
        <f t="shared" ref="S73" si="424">C73*E73*F73*Q73/1000000*R73</f>
        <v>7.0836842734694292</v>
      </c>
      <c r="T73" s="219">
        <f t="shared" ref="T73" si="425">0.630901162/G73-0.001006579*G73+0.000008915*G73^2+0.0072170055</f>
        <v>8.5741511172441748E-3</v>
      </c>
      <c r="U73" s="592">
        <v>160</v>
      </c>
      <c r="V73" s="343">
        <f t="shared" ref="V73" si="426">C73*E73*F73*T73*U73</f>
        <v>1353.1080517070741</v>
      </c>
      <c r="W73" s="598"/>
      <c r="X73" s="598"/>
      <c r="Y73" s="598"/>
      <c r="Z73" s="595"/>
    </row>
    <row r="74" spans="1:26" ht="15" customHeight="1">
      <c r="A74" s="604"/>
      <c r="B74" s="589"/>
      <c r="C74" s="587"/>
      <c r="D74" s="217" t="s">
        <v>66</v>
      </c>
      <c r="E74" s="344">
        <f>'ｼｰﾄNO.4（表-4）60頁'!G79</f>
        <v>7</v>
      </c>
      <c r="F74" s="591"/>
      <c r="G74" s="591"/>
      <c r="H74" s="218">
        <f>12.28697452/G73-0.05907844*G73+0.00051753*G73^2+2.69979197</f>
        <v>1.890850785723317</v>
      </c>
      <c r="I74" s="593"/>
      <c r="J74" s="345">
        <f t="shared" ref="J74" si="427">C73*E74*F73*H74/1000000*I73</f>
        <v>0.98157845988468839</v>
      </c>
      <c r="K74" s="218">
        <f t="shared" ref="K74" si="428">908.52069/G73-23.49889*G73+0.18396*G73^2+1364.81344</f>
        <v>883.73307254463668</v>
      </c>
      <c r="L74" s="593"/>
      <c r="M74" s="345">
        <f t="shared" ref="M74" si="429">C73*E74*F73*K74/1000000*L73</f>
        <v>132.62853149826037</v>
      </c>
      <c r="N74" s="218">
        <f>9.45345681/G73-0.14325844*G73+0.00124097*G73^2+5.98054622</f>
        <v>3.2811496463454768</v>
      </c>
      <c r="O74" s="593"/>
      <c r="P74" s="345">
        <f t="shared" ref="P74" si="430">C73*E74*F73*N74/1000000*O73</f>
        <v>143.09510707455669</v>
      </c>
      <c r="Q74" s="218">
        <f>0.6037810576/G73-0.0052863845*G73+0.000423961*G73^2+0.3189943526</f>
        <v>0.52465777470111807</v>
      </c>
      <c r="R74" s="593"/>
      <c r="S74" s="345">
        <f t="shared" ref="S74" si="431">C73*E74*F73*Q74/1000000*R73</f>
        <v>13.133215787817157</v>
      </c>
      <c r="T74" s="218">
        <f t="shared" ref="T74" si="432">0.2877659/G73-0.008903887*G73+0.000069093*G73^2+0.516185391</f>
        <v>0.33140437480888518</v>
      </c>
      <c r="U74" s="593"/>
      <c r="V74" s="345">
        <f t="shared" ref="V74" si="433">C73*E74*F73*T74*U73</f>
        <v>2752.6182248126156</v>
      </c>
      <c r="W74" s="598"/>
      <c r="X74" s="598"/>
      <c r="Y74" s="598"/>
      <c r="Z74" s="595"/>
    </row>
    <row r="75" spans="1:26" ht="15" customHeight="1">
      <c r="A75" s="604"/>
      <c r="B75" s="588" t="s">
        <v>55</v>
      </c>
      <c r="C75" s="586">
        <f>'ｼｰﾄNO.3（表-3）59頁'!$F$30</f>
        <v>9</v>
      </c>
      <c r="D75" s="216" t="s">
        <v>65</v>
      </c>
      <c r="E75" s="342">
        <f>'ｼｰﾄNO.4（表-4）60頁'!G80</f>
        <v>42.75</v>
      </c>
      <c r="F75" s="590">
        <f>'ｼｰﾄNO.4（表-4）60頁'!C80/1000</f>
        <v>0.91</v>
      </c>
      <c r="G75" s="590">
        <f>'ｼｰﾄNO.4（表-4）60頁'!C80/1000/('ｼｰﾄNO.4（表-4）60頁'!D80/3600)</f>
        <v>25.395348837209301</v>
      </c>
      <c r="H75" s="219">
        <f>-2.71095565/G75-0.09453616*G75+0.00089493*G75^2+3.15403637</f>
        <v>1.2236691288831159</v>
      </c>
      <c r="I75" s="592">
        <v>10000</v>
      </c>
      <c r="J75" s="343">
        <f t="shared" ref="J75" si="434">C75*E75*F75*H75/1000000*I75</f>
        <v>4.2843409457737875</v>
      </c>
      <c r="K75" s="219">
        <f t="shared" ref="K75" si="435">1501.20185/G75-2.40935*G75+0.02115*G75^2+174.47635</f>
        <v>186.04346309546096</v>
      </c>
      <c r="L75" s="592">
        <v>2891</v>
      </c>
      <c r="M75" s="343">
        <f t="shared" ref="M75" si="436">C75*E75*F75*K75/1000000*L75</f>
        <v>188.31396496048879</v>
      </c>
      <c r="N75" s="219">
        <f>-0.25063622/G75-0.00657231*G75+0.00005332*G75^2+0.29056757</f>
        <v>0.14817942387383937</v>
      </c>
      <c r="O75" s="592">
        <v>840100</v>
      </c>
      <c r="P75" s="343">
        <f t="shared" ref="P75" si="437">C75*E75*F75*N75/1000000*O75</f>
        <v>43.585186376658918</v>
      </c>
      <c r="Q75" s="219">
        <f>0.093055673/G75-0.0002682273*G75+0.00000218*G75^2+0.0173678037</f>
        <v>1.5626291771545158E-2</v>
      </c>
      <c r="R75" s="592">
        <v>482200</v>
      </c>
      <c r="S75" s="343">
        <f t="shared" ref="S75" si="438">C75*E75*F75*Q75/1000000*R75</f>
        <v>2.6381722995254755</v>
      </c>
      <c r="T75" s="219">
        <f t="shared" ref="T75" si="439">0.630901162/G75-0.001006579*G75+0.000008915*G75^2+0.0072170055</f>
        <v>1.2247253452286853E-2</v>
      </c>
      <c r="U75" s="592">
        <v>160</v>
      </c>
      <c r="V75" s="343">
        <f t="shared" ref="V75" si="440">C75*E75*F75*T75*U75</f>
        <v>686.08623949572859</v>
      </c>
      <c r="W75" s="598"/>
      <c r="X75" s="598"/>
      <c r="Y75" s="598"/>
      <c r="Z75" s="595"/>
    </row>
    <row r="76" spans="1:26" ht="15" customHeight="1">
      <c r="A76" s="604"/>
      <c r="B76" s="589"/>
      <c r="C76" s="587"/>
      <c r="D76" s="217" t="s">
        <v>66</v>
      </c>
      <c r="E76" s="344">
        <f>'ｼｰﾄNO.4（表-4）60頁'!G81</f>
        <v>2.25</v>
      </c>
      <c r="F76" s="591"/>
      <c r="G76" s="591"/>
      <c r="H76" s="218">
        <f>12.28697452/G75-0.05907844*G75+0.00051753*G75^2+2.69979197</f>
        <v>2.0170695131761947</v>
      </c>
      <c r="I76" s="593"/>
      <c r="J76" s="345">
        <f t="shared" ref="J76" si="441">C75*E76*F75*H76/1000000*I75</f>
        <v>0.3716954845405433</v>
      </c>
      <c r="K76" s="218">
        <f t="shared" ref="K76" si="442">908.52069/G75-23.49889*G75+0.18396*G75^2+1364.81344</f>
        <v>922.46618496016549</v>
      </c>
      <c r="L76" s="593"/>
      <c r="M76" s="345">
        <f t="shared" ref="M76" si="443">C75*E76*F75*K76/1000000*L75</f>
        <v>49.143373597114831</v>
      </c>
      <c r="N76" s="218">
        <f>9.45345681/G75-0.14325844*G75+0.00124097*G75^2+5.98054622</f>
        <v>3.515030683557745</v>
      </c>
      <c r="O76" s="593"/>
      <c r="P76" s="345">
        <f t="shared" ref="P76" si="444">C75*E76*F75*N76/1000000*O75</f>
        <v>54.415988776650821</v>
      </c>
      <c r="Q76" s="218">
        <f>0.6037810576/G75-0.0052863845*G75+0.000423961*G75^2+0.3189943526</f>
        <v>0.48194255038150902</v>
      </c>
      <c r="R76" s="593"/>
      <c r="S76" s="345">
        <f t="shared" ref="S76" si="445">C75*E76*F75*Q76/1000000*R75</f>
        <v>4.2824164385982657</v>
      </c>
      <c r="T76" s="218">
        <f t="shared" ref="T76" si="446">0.2877659/G75-0.008903887*G75+0.000069093*G75^2+0.516185391</f>
        <v>0.34595923189006639</v>
      </c>
      <c r="U76" s="593"/>
      <c r="V76" s="345">
        <f t="shared" ref="V76" si="447">C75*E76*F75*T76*U75</f>
        <v>1020.0261993046719</v>
      </c>
      <c r="W76" s="598"/>
      <c r="X76" s="598"/>
      <c r="Y76" s="598"/>
      <c r="Z76" s="595"/>
    </row>
    <row r="77" spans="1:26" ht="15" customHeight="1">
      <c r="A77" s="604"/>
      <c r="B77" s="588" t="s">
        <v>56</v>
      </c>
      <c r="C77" s="586">
        <f>'ｼｰﾄNO.3（表-3）59頁'!$F$30</f>
        <v>9</v>
      </c>
      <c r="D77" s="216" t="s">
        <v>65</v>
      </c>
      <c r="E77" s="342">
        <f>'ｼｰﾄNO.4（表-4）60頁'!G82</f>
        <v>752.4</v>
      </c>
      <c r="F77" s="590">
        <f>'ｼｰﾄNO.4（表-4）60頁'!C82/1000</f>
        <v>0.61699999999999999</v>
      </c>
      <c r="G77" s="590">
        <f>'ｼｰﾄNO.4（表-4）60頁'!C82/1000/('ｼｰﾄNO.4（表-4）60頁'!D82/3600)</f>
        <v>26.76144578313253</v>
      </c>
      <c r="H77" s="219">
        <f>-2.71095565/G77-0.09453616*G77+0.00089493*G77^2+3.15403637</f>
        <v>1.1637377329352296</v>
      </c>
      <c r="I77" s="592">
        <v>10000</v>
      </c>
      <c r="J77" s="343">
        <f t="shared" ref="J77" si="448">C77*E77*F77*H77/1000000*I77</f>
        <v>48.621860887563713</v>
      </c>
      <c r="K77" s="219">
        <f t="shared" ref="K77" si="449">1501.20185/G77-2.40935*G77+0.02115*G77^2+174.47635</f>
        <v>181.24145455427808</v>
      </c>
      <c r="L77" s="592">
        <v>2891</v>
      </c>
      <c r="M77" s="343">
        <f t="shared" ref="M77" si="450">C77*E77*F77*K77/1000000*L77</f>
        <v>2189.1831209066772</v>
      </c>
      <c r="N77" s="219">
        <f>-0.25063622/G77-0.00657231*G77+0.00005332*G77^2+0.29056757</f>
        <v>0.14350393124052649</v>
      </c>
      <c r="O77" s="592">
        <v>840100</v>
      </c>
      <c r="P77" s="343">
        <f t="shared" ref="P77" si="451">C77*E77*F77*N77/1000000*O77</f>
        <v>503.69917976050823</v>
      </c>
      <c r="Q77" s="219">
        <f>0.093055673/G77-0.0002682273*G77+0.00000218*G77^2+0.0173678037</f>
        <v>1.5228143722623148E-2</v>
      </c>
      <c r="R77" s="592">
        <v>482200</v>
      </c>
      <c r="S77" s="343">
        <f t="shared" ref="S77" si="452">C77*E77*F77*Q77/1000000*R77</f>
        <v>30.679666433379943</v>
      </c>
      <c r="T77" s="219">
        <f t="shared" ref="T77" si="453">0.630901162/G77-0.001006579*G77+0.000008915*G77^2+0.0072170055</f>
        <v>1.0239199017392751E-2</v>
      </c>
      <c r="U77" s="592">
        <v>160</v>
      </c>
      <c r="V77" s="343">
        <f t="shared" ref="V77" si="454">C77*E77*F77*T77*U77</f>
        <v>6844.8262337329688</v>
      </c>
      <c r="W77" s="598"/>
      <c r="X77" s="598"/>
      <c r="Y77" s="598"/>
      <c r="Z77" s="595"/>
    </row>
    <row r="78" spans="1:26" ht="15" customHeight="1">
      <c r="A78" s="605"/>
      <c r="B78" s="589"/>
      <c r="C78" s="587"/>
      <c r="D78" s="217" t="s">
        <v>66</v>
      </c>
      <c r="E78" s="344">
        <f>'ｼｰﾄNO.4（表-4）60頁'!G83</f>
        <v>39.6</v>
      </c>
      <c r="F78" s="591"/>
      <c r="G78" s="591"/>
      <c r="H78" s="218">
        <f>12.28697452/G77-0.05907844*G77+0.00051753*G77^2+2.69979197</f>
        <v>1.9485392365792691</v>
      </c>
      <c r="I78" s="593"/>
      <c r="J78" s="345">
        <f t="shared" ref="J78" si="455">C77*E78*F77*H78/1000000*I77</f>
        <v>4.284814398766974</v>
      </c>
      <c r="K78" s="218">
        <f t="shared" ref="K78" si="456">908.52069/G77-23.49889*G77+0.18396*G77^2+1364.81344</f>
        <v>901.64558294529479</v>
      </c>
      <c r="L78" s="593"/>
      <c r="M78" s="345">
        <f t="shared" ref="M78" si="457">C77*E78*F77*K78/1000000*L77</f>
        <v>573.20082993798064</v>
      </c>
      <c r="N78" s="218">
        <f>9.45345681/G77-0.14325844*G77+0.00124097*G77^2+5.98054622</f>
        <v>3.3887440168377028</v>
      </c>
      <c r="O78" s="593"/>
      <c r="P78" s="345">
        <f t="shared" ref="P78" si="458">C77*E78*F77*N78/1000000*O77</f>
        <v>626.02634203450521</v>
      </c>
      <c r="Q78" s="218">
        <f>0.6037810576/G77-0.0052863845*G77+0.000423961*G77^2+0.3189943526</f>
        <v>0.50371492211906921</v>
      </c>
      <c r="R78" s="593"/>
      <c r="S78" s="345">
        <f t="shared" ref="S78" si="459">C77*E78*F77*Q78/1000000*R77</f>
        <v>53.411513194932226</v>
      </c>
      <c r="T78" s="218">
        <f t="shared" ref="T78" si="460">0.2877659/G77-0.008903887*G77+0.000069093*G77^2+0.516185391</f>
        <v>0.33814018245764677</v>
      </c>
      <c r="U78" s="593"/>
      <c r="V78" s="345">
        <f t="shared" ref="V78" si="461">C77*E78*F77*T78*U77</f>
        <v>11897.059256674813</v>
      </c>
      <c r="W78" s="599"/>
      <c r="X78" s="599"/>
      <c r="Y78" s="599"/>
      <c r="Z78" s="595"/>
    </row>
    <row r="79" spans="1:26" ht="15" customHeight="1">
      <c r="A79" s="603" t="s">
        <v>936</v>
      </c>
      <c r="B79" s="588" t="s">
        <v>45</v>
      </c>
      <c r="C79" s="586">
        <f>'ｼｰﾄNO.3（表-3）59頁'!$F$30</f>
        <v>9</v>
      </c>
      <c r="D79" s="216" t="s">
        <v>65</v>
      </c>
      <c r="E79" s="342">
        <f>'ｼｰﾄNO.4（表-4）60頁'!S6</f>
        <v>772.34999999999991</v>
      </c>
      <c r="F79" s="590">
        <f>'ｼｰﾄNO.4（表-4）60頁'!O6/1000</f>
        <v>1.054</v>
      </c>
      <c r="G79" s="590">
        <f>'ｼｰﾄNO.4（表-4）60頁'!O6/1000/('ｼｰﾄNO.4（表-4）60頁'!P6/3600)</f>
        <v>29.643750000000001</v>
      </c>
      <c r="H79" s="219">
        <f>-2.71095565/G79-0.09453616*G79+0.00089493*G79^2+3.15403637</f>
        <v>1.0466003564631281</v>
      </c>
      <c r="I79" s="592">
        <v>10000</v>
      </c>
      <c r="J79" s="343">
        <f>C79*E79*F79*H79/1000000*I79</f>
        <v>76.679301754914221</v>
      </c>
      <c r="K79" s="219">
        <f>1501.20185/G79-2.40935*G79+0.02115*G79^2+174.47635</f>
        <v>172.28121255158959</v>
      </c>
      <c r="L79" s="592">
        <v>2891</v>
      </c>
      <c r="M79" s="343">
        <f>C79*E79*F79*K79/1000000*L79</f>
        <v>3649.0791427542326</v>
      </c>
      <c r="N79" s="219">
        <f>-0.25063622/G79-0.00657231*G79+0.00005332*G79^2+0.29056757</f>
        <v>0.13413976437914132</v>
      </c>
      <c r="O79" s="592">
        <v>840100</v>
      </c>
      <c r="P79" s="343">
        <f>C79*E79*F79*N79/1000000*O79</f>
        <v>825.63062738522092</v>
      </c>
      <c r="Q79" s="219">
        <f>0.093055673/G79-0.0002682273*G79+0.00000218*G79^2+0.0173678037</f>
        <v>1.4471352818974903E-2</v>
      </c>
      <c r="R79" s="592">
        <v>482200</v>
      </c>
      <c r="S79" s="343">
        <f>C79*E79*F79*Q79/1000000*R79</f>
        <v>51.12503392653209</v>
      </c>
      <c r="T79" s="219">
        <f>0.630901162/G79-0.001006579*G79+0.000008915*G79^2+0.0072170055</f>
        <v>6.4950742292543343E-3</v>
      </c>
      <c r="U79" s="592">
        <v>160</v>
      </c>
      <c r="V79" s="343">
        <f>C79*E79*F79*T79*U79</f>
        <v>7613.7983889648076</v>
      </c>
      <c r="W79" s="597">
        <f>SUM(J79:J102)+SUM(M79:M102)+SUM(P79:P102)+SUM(S79:S102)+SUM(V79:V102)</f>
        <v>224801.63540201806</v>
      </c>
      <c r="X79" s="597">
        <f>'ｼｰﾄNO.3（表-3）59頁'!F38</f>
        <v>18</v>
      </c>
      <c r="Y79" s="597">
        <f>W79*X79</f>
        <v>4046429.4372363249</v>
      </c>
      <c r="Z79" s="595"/>
    </row>
    <row r="80" spans="1:26" ht="15" customHeight="1">
      <c r="A80" s="604"/>
      <c r="B80" s="589"/>
      <c r="C80" s="587"/>
      <c r="D80" s="217" t="s">
        <v>66</v>
      </c>
      <c r="E80" s="344">
        <f>'ｼｰﾄNO.4（表-4）60頁'!S7</f>
        <v>40.650000000000006</v>
      </c>
      <c r="F80" s="591"/>
      <c r="G80" s="591"/>
      <c r="H80" s="218">
        <f>12.28697452/G79-0.05907844*G79+0.00051753*G79^2+2.69979197</f>
        <v>1.8177538030136606</v>
      </c>
      <c r="I80" s="593"/>
      <c r="J80" s="345">
        <f>C79*E80*F79*H80/1000000*I79</f>
        <v>7.0093659118950544</v>
      </c>
      <c r="K80" s="218">
        <f>908.52069/G79-23.49889*G79+0.18396*G79^2+1364.81344</f>
        <v>860.52138928887075</v>
      </c>
      <c r="L80" s="593"/>
      <c r="M80" s="345">
        <f>C79*E80*F79*K80/1000000*L79</f>
        <v>959.29776275628376</v>
      </c>
      <c r="N80" s="218">
        <f>9.45345681/G79-0.14325844*G79+0.00124097*G79^2+5.98054622</f>
        <v>3.1432357925564749</v>
      </c>
      <c r="O80" s="593"/>
      <c r="P80" s="345">
        <f>C79*E80*F79*N80/1000000*O79</f>
        <v>1018.2434290554703</v>
      </c>
      <c r="Q80" s="218">
        <f>0.6037810576/G79-0.0052863845*G79+0.000423961*G79^2+0.3189943526</f>
        <v>0.55521053643067186</v>
      </c>
      <c r="R80" s="593"/>
      <c r="S80" s="345">
        <f>C79*E80*F79*Q80/1000000*R79</f>
        <v>103.235383532017</v>
      </c>
      <c r="T80" s="218">
        <f>0.2877659/G79-0.008903887*G79+0.000069093*G79^2+0.516185391</f>
        <v>0.32266386964951294</v>
      </c>
      <c r="U80" s="593"/>
      <c r="V80" s="345">
        <f>C79*E80*F79*T80*U79</f>
        <v>19907.374696589301</v>
      </c>
      <c r="W80" s="598"/>
      <c r="X80" s="598"/>
      <c r="Y80" s="598"/>
      <c r="Z80" s="595"/>
    </row>
    <row r="81" spans="1:26" ht="15" customHeight="1">
      <c r="A81" s="604"/>
      <c r="B81" s="588" t="s">
        <v>46</v>
      </c>
      <c r="C81" s="586">
        <f>'ｼｰﾄNO.3（表-3）59頁'!$F$30</f>
        <v>9</v>
      </c>
      <c r="D81" s="216" t="s">
        <v>65</v>
      </c>
      <c r="E81" s="342">
        <f>'ｼｰﾄNO.4（表-4）60頁'!S8</f>
        <v>148.19999999999999</v>
      </c>
      <c r="F81" s="590">
        <f>'ｼｰﾄNO.4（表-4）60頁'!O8/1000</f>
        <v>0.76100000000000001</v>
      </c>
      <c r="G81" s="590">
        <f>'ｼｰﾄNO.4（表-4）60頁'!O8/1000/('ｼｰﾄNO.4（表-4）60頁'!P8/3600)</f>
        <v>27.955102040816328</v>
      </c>
      <c r="H81" s="219">
        <f>-2.71095565/G81-0.09453616*G81+0.00089493*G81^2+3.15403637</f>
        <v>1.1136698404962537</v>
      </c>
      <c r="I81" s="592">
        <v>10000</v>
      </c>
      <c r="J81" s="343">
        <f t="shared" ref="J81" si="462">C81*E81*F81*H81/1000000*I81</f>
        <v>11.303991661062202</v>
      </c>
      <c r="K81" s="219">
        <f t="shared" ref="K81" si="463">1501.20185/G81-2.40935*G81+0.02115*G81^2+174.47635</f>
        <v>177.35165078551574</v>
      </c>
      <c r="L81" s="592">
        <v>2891</v>
      </c>
      <c r="M81" s="343">
        <f t="shared" ref="M81" si="464">C81*E81*F81*K81/1000000*L81</f>
        <v>520.42565413220871</v>
      </c>
      <c r="N81" s="219">
        <f>-0.25063622/G81-0.00657231*G81+0.00005332*G81^2+0.29056757</f>
        <v>0.13954122906549798</v>
      </c>
      <c r="O81" s="592">
        <v>840100</v>
      </c>
      <c r="P81" s="343">
        <f t="shared" ref="P81" si="465">C81*E81*F81*N81/1000000*O81</f>
        <v>118.98957091918027</v>
      </c>
      <c r="Q81" s="219">
        <f>0.093055673/G81-0.0002682273*G81+0.00000218*G81^2+0.0173678037</f>
        <v>1.4901879955931608E-2</v>
      </c>
      <c r="R81" s="592">
        <v>482200</v>
      </c>
      <c r="S81" s="343">
        <f t="shared" ref="S81" si="466">C81*E81*F81*Q81/1000000*R81</f>
        <v>7.2936284604374961</v>
      </c>
      <c r="T81" s="219">
        <f t="shared" ref="T81" si="467">0.630901162/G81-0.001006579*G81+0.000008915*G81^2+0.0072170055</f>
        <v>8.6133226666943175E-3</v>
      </c>
      <c r="U81" s="592">
        <v>160</v>
      </c>
      <c r="V81" s="343">
        <f t="shared" ref="V81" si="468">C81*E81*F81*T81*U81</f>
        <v>1398.8336443406185</v>
      </c>
      <c r="W81" s="598"/>
      <c r="X81" s="598"/>
      <c r="Y81" s="598"/>
      <c r="Z81" s="595"/>
    </row>
    <row r="82" spans="1:26" ht="15" customHeight="1">
      <c r="A82" s="604"/>
      <c r="B82" s="589"/>
      <c r="C82" s="587"/>
      <c r="D82" s="217" t="s">
        <v>66</v>
      </c>
      <c r="E82" s="344">
        <f>'ｼｰﾄNO.4（表-4）60頁'!S9</f>
        <v>7.8000000000000007</v>
      </c>
      <c r="F82" s="591"/>
      <c r="G82" s="591"/>
      <c r="H82" s="218">
        <f>12.28697452/G81-0.05907844*G81+0.00051753*G81^2+2.69979197</f>
        <v>1.8922167930969032</v>
      </c>
      <c r="I82" s="593"/>
      <c r="J82" s="345">
        <f t="shared" ref="J82" si="469">C81*E82*F81*H82/1000000*I81</f>
        <v>1.0108638396418139</v>
      </c>
      <c r="K82" s="218">
        <f t="shared" ref="K82" si="470">908.52069/G81-23.49889*G81+0.18396*G81^2+1364.81344</f>
        <v>884.1613350837506</v>
      </c>
      <c r="L82" s="593"/>
      <c r="M82" s="345">
        <f t="shared" ref="M82" si="471">C81*E82*F81*K82/1000000*L81</f>
        <v>136.55304206474631</v>
      </c>
      <c r="N82" s="218">
        <f>9.45345681/G81-0.14325844*G81+0.00124097*G81^2+5.98054622</f>
        <v>3.2837104457456512</v>
      </c>
      <c r="O82" s="593"/>
      <c r="P82" s="345">
        <f t="shared" ref="P82" si="472">C81*E82*F81*N82/1000000*O81</f>
        <v>147.37289269037666</v>
      </c>
      <c r="Q82" s="218">
        <f>0.6037810576/G81-0.0052863845*G81+0.000423961*G81^2+0.3189943526</f>
        <v>0.52413149597119757</v>
      </c>
      <c r="R82" s="593"/>
      <c r="S82" s="345">
        <f t="shared" ref="S82" si="473">C81*E82*F81*Q82/1000000*R81</f>
        <v>13.501724216683765</v>
      </c>
      <c r="T82" s="218">
        <f t="shared" ref="T82" si="474">0.2877659/G81-0.008903887*G81+0.000069093*G81^2+0.516185391</f>
        <v>0.33156551285231084</v>
      </c>
      <c r="U82" s="593"/>
      <c r="V82" s="345">
        <f t="shared" ref="V82" si="475">C81*E82*F81*T82*U81</f>
        <v>2834.0734625117957</v>
      </c>
      <c r="W82" s="598"/>
      <c r="X82" s="598"/>
      <c r="Y82" s="598"/>
      <c r="Z82" s="595"/>
    </row>
    <row r="83" spans="1:26" ht="15" customHeight="1">
      <c r="A83" s="604"/>
      <c r="B83" s="588" t="s">
        <v>47</v>
      </c>
      <c r="C83" s="586">
        <f>'ｼｰﾄNO.3（表-3）59頁'!$F$30</f>
        <v>9</v>
      </c>
      <c r="D83" s="216" t="s">
        <v>65</v>
      </c>
      <c r="E83" s="342">
        <f>'ｼｰﾄNO.4（表-4）60頁'!S10</f>
        <v>41.8</v>
      </c>
      <c r="F83" s="590">
        <f>'ｼｰﾄNO.4（表-4）60頁'!O10/1000</f>
        <v>0.82399999999999995</v>
      </c>
      <c r="G83" s="590">
        <f>'ｼｰﾄNO.4（表-4）60頁'!O10/1000/('ｼｰﾄNO.4（表-4）60頁'!P10/3600)</f>
        <v>27.723364485981307</v>
      </c>
      <c r="H83" s="219">
        <f>-2.71095565/G83-0.09453616*G83+0.00089493*G83^2+3.15403637</f>
        <v>1.1232197139537154</v>
      </c>
      <c r="I83" s="592">
        <v>10000</v>
      </c>
      <c r="J83" s="343">
        <f t="shared" ref="J83" si="476">C83*E83*F83*H83/1000000*I83</f>
        <v>3.4818553126485545</v>
      </c>
      <c r="K83" s="219">
        <f t="shared" ref="K83" si="477">1501.20185/G83-2.40935*G83+0.02115*G83^2+174.47635</f>
        <v>178.08597179871586</v>
      </c>
      <c r="L83" s="592">
        <v>2891</v>
      </c>
      <c r="M83" s="343">
        <f t="shared" ref="M83" si="478">C83*E83*F83*K83/1000000*L83</f>
        <v>159.59666250442905</v>
      </c>
      <c r="N83" s="219">
        <f>-0.25063622/G83-0.00657231*G83+0.00005332*G83^2+0.29056757</f>
        <v>0.14030135988860615</v>
      </c>
      <c r="O83" s="592">
        <v>840100</v>
      </c>
      <c r="P83" s="343">
        <f t="shared" ref="P83" si="479">C83*E83*F83*N83/1000000*O83</f>
        <v>36.537503344818234</v>
      </c>
      <c r="Q83" s="219">
        <f>0.093055673/G83-0.0002682273*G83+0.00000218*G83^2+0.0173678037</f>
        <v>1.4963735021926428E-2</v>
      </c>
      <c r="R83" s="592">
        <v>482200</v>
      </c>
      <c r="S83" s="343">
        <f t="shared" ref="S83" si="480">C83*E83*F83*Q83/1000000*R83</f>
        <v>2.2367282248016971</v>
      </c>
      <c r="T83" s="219">
        <f t="shared" ref="T83" si="481">0.630901162/G83-0.001006579*G83+0.000008915*G83^2+0.0072170055</f>
        <v>8.9202037945470755E-3</v>
      </c>
      <c r="U83" s="592">
        <v>160</v>
      </c>
      <c r="V83" s="343">
        <f t="shared" ref="V83" si="482">C83*E83*F83*T83*U83</f>
        <v>442.42612320433511</v>
      </c>
      <c r="W83" s="598"/>
      <c r="X83" s="598"/>
      <c r="Y83" s="598"/>
      <c r="Z83" s="595"/>
    </row>
    <row r="84" spans="1:26" ht="15" customHeight="1">
      <c r="A84" s="604"/>
      <c r="B84" s="589"/>
      <c r="C84" s="587"/>
      <c r="D84" s="217" t="s">
        <v>66</v>
      </c>
      <c r="E84" s="344">
        <f>'ｼｰﾄNO.4（表-4）60頁'!S11</f>
        <v>2.2000000000000002</v>
      </c>
      <c r="F84" s="591"/>
      <c r="G84" s="591"/>
      <c r="H84" s="218">
        <f>12.28697452/G83-0.05907844*G83+0.00051753*G83^2+2.69979197</f>
        <v>1.9029038640149443</v>
      </c>
      <c r="I84" s="593"/>
      <c r="J84" s="345">
        <f t="shared" ref="J84" si="483">C83*E84*F83*H84/1000000*I83</f>
        <v>0.31046257122176618</v>
      </c>
      <c r="K84" s="218">
        <f t="shared" ref="K84" si="484">908.52069/G83-23.49889*G83+0.18396*G83^2+1364.81344</f>
        <v>887.50497191447084</v>
      </c>
      <c r="L84" s="593"/>
      <c r="M84" s="345">
        <f t="shared" ref="M84" si="485">C83*E84*F83*K84/1000000*L83</f>
        <v>41.861162851499017</v>
      </c>
      <c r="N84" s="218">
        <f>9.45345681/G83-0.14325844*G83+0.00124097*G83^2+5.98054622</f>
        <v>3.3037235310791822</v>
      </c>
      <c r="O84" s="593"/>
      <c r="P84" s="345">
        <f t="shared" ref="P84" si="486">C83*E84*F83*N84/1000000*O83</f>
        <v>45.282154620596408</v>
      </c>
      <c r="Q84" s="218">
        <f>0.6037810576/G83-0.0052863845*G83+0.000423961*G83^2+0.3189943526</f>
        <v>0.52006680742974198</v>
      </c>
      <c r="R84" s="593"/>
      <c r="S84" s="345">
        <f t="shared" ref="S84" si="487">C83*E84*F83*Q84/1000000*R83</f>
        <v>4.0914640955057795</v>
      </c>
      <c r="T84" s="218">
        <f t="shared" ref="T84" si="488">0.2877659/G83-0.008903887*G83+0.000069093*G83^2+0.516185391</f>
        <v>0.33282343088095673</v>
      </c>
      <c r="U84" s="593"/>
      <c r="V84" s="345">
        <f t="shared" ref="V84" si="489">C83*E84*F83*T84*U83</f>
        <v>868.81293432143764</v>
      </c>
      <c r="W84" s="598"/>
      <c r="X84" s="598"/>
      <c r="Y84" s="598"/>
      <c r="Z84" s="595"/>
    </row>
    <row r="85" spans="1:26" ht="15" customHeight="1">
      <c r="A85" s="604"/>
      <c r="B85" s="588" t="s">
        <v>48</v>
      </c>
      <c r="C85" s="586">
        <f>'ｼｰﾄNO.3（表-3）59頁'!$F$30</f>
        <v>9</v>
      </c>
      <c r="D85" s="216" t="s">
        <v>65</v>
      </c>
      <c r="E85" s="342">
        <f>'ｼｰﾄNO.4（表-4）60頁'!S12</f>
        <v>753.34999999999991</v>
      </c>
      <c r="F85" s="590">
        <f>'ｼｰﾄNO.4（表-4）60頁'!O12/1000</f>
        <v>1.054</v>
      </c>
      <c r="G85" s="590">
        <f>'ｼｰﾄNO.4（表-4）60頁'!O12/1000/('ｼｰﾄNO.4（表-4）60頁'!P12/3600)</f>
        <v>11.292857142857143</v>
      </c>
      <c r="H85" s="219">
        <f>-2.71095565/G85-0.09453616*G85+0.00089493*G85^2+3.15403637</f>
        <v>1.9605228865283124</v>
      </c>
      <c r="I85" s="592">
        <v>10000</v>
      </c>
      <c r="J85" s="343">
        <f t="shared" ref="J85" si="490">C85*E85*F85*H85/1000000*I85</f>
        <v>140.10441768546065</v>
      </c>
      <c r="K85" s="219">
        <f t="shared" ref="K85" si="491">1501.20185/G85-2.40935*G85+0.02115*G85^2+174.47635</f>
        <v>282.89888516578083</v>
      </c>
      <c r="L85" s="592">
        <v>2891</v>
      </c>
      <c r="M85" s="343">
        <f t="shared" ref="M85" si="492">C85*E85*F85*K85/1000000*L85</f>
        <v>5844.6598449982666</v>
      </c>
      <c r="N85" s="219">
        <f>-0.25063622/G85-0.00657231*G85+0.00005332*G85^2+0.29056757</f>
        <v>0.20095301254045878</v>
      </c>
      <c r="O85" s="592">
        <v>840100</v>
      </c>
      <c r="P85" s="343">
        <f t="shared" ref="P85" si="493">C85*E85*F85*N85/1000000*O85</f>
        <v>1206.4391412346656</v>
      </c>
      <c r="Q85" s="219">
        <f>0.093055673/G85-0.0002682273*G85+0.00000218*G85^2+0.0173678037</f>
        <v>2.2856987564295331E-2</v>
      </c>
      <c r="R85" s="592">
        <v>482200</v>
      </c>
      <c r="S85" s="343">
        <f t="shared" ref="S85" si="494">C85*E85*F85*Q85/1000000*R85</f>
        <v>78.763700295352038</v>
      </c>
      <c r="T85" s="219">
        <f t="shared" ref="T85" si="495">0.630901162/G85-0.001006579*G85+0.000008915*G85^2+0.0072170055</f>
        <v>5.2854045891555172E-2</v>
      </c>
      <c r="U85" s="592">
        <v>160</v>
      </c>
      <c r="V85" s="343">
        <f t="shared" ref="V85" si="496">C85*E85*F85*T85*U85</f>
        <v>60433.553704194506</v>
      </c>
      <c r="W85" s="598"/>
      <c r="X85" s="598"/>
      <c r="Y85" s="598"/>
      <c r="Z85" s="595"/>
    </row>
    <row r="86" spans="1:26" ht="15" customHeight="1">
      <c r="A86" s="604"/>
      <c r="B86" s="589"/>
      <c r="C86" s="587"/>
      <c r="D86" s="217" t="s">
        <v>66</v>
      </c>
      <c r="E86" s="344">
        <f>'ｼｰﾄNO.4（表-4）60頁'!S13</f>
        <v>39.650000000000006</v>
      </c>
      <c r="F86" s="591"/>
      <c r="G86" s="591"/>
      <c r="H86" s="218">
        <f>12.28697452/G85-0.05907844*G85+0.00051753*G85^2+2.69979197</f>
        <v>3.186658109115263</v>
      </c>
      <c r="I86" s="593"/>
      <c r="J86" s="345">
        <f t="shared" ref="J86" si="497">C85*E86*F85*H86/1000000*I85</f>
        <v>11.98565529334622</v>
      </c>
      <c r="K86" s="218">
        <f t="shared" ref="K86" si="498">908.52069/G85-23.49889*G85+0.18396*G85^2+1364.81344</f>
        <v>1203.3549125905122</v>
      </c>
      <c r="L86" s="593"/>
      <c r="M86" s="345">
        <f t="shared" ref="M86" si="499">C85*E86*F85*K86/1000000*L85</f>
        <v>1308.4831636608592</v>
      </c>
      <c r="N86" s="218">
        <f>9.45345681/G85-0.14325844*G85+0.00124097*G85^2+5.98054622</f>
        <v>5.3581265672668152</v>
      </c>
      <c r="O86" s="593"/>
      <c r="P86" s="345">
        <f t="shared" ref="P86" si="500">C85*E86*F85*N86/1000000*O85</f>
        <v>1693.0518738837666</v>
      </c>
      <c r="Q86" s="218">
        <f>0.6037810576/G85-0.0052863845*G85+0.000423961*G85^2+0.3189943526</f>
        <v>0.3668288782424528</v>
      </c>
      <c r="R86" s="593"/>
      <c r="S86" s="345">
        <f t="shared" ref="S86" si="501">C85*E86*F85*Q86/1000000*R85</f>
        <v>66.529925291002158</v>
      </c>
      <c r="T86" s="218">
        <f t="shared" ref="T86" si="502">0.2877659/G85-0.008903887*G85+0.000069093*G85^2+0.516185391</f>
        <v>0.44992851858576122</v>
      </c>
      <c r="U86" s="593"/>
      <c r="V86" s="345">
        <f t="shared" ref="V86" si="503">C85*E86*F85*T86*U85</f>
        <v>27076.331106819947</v>
      </c>
      <c r="W86" s="598"/>
      <c r="X86" s="598"/>
      <c r="Y86" s="598"/>
      <c r="Z86" s="595"/>
    </row>
    <row r="87" spans="1:26" ht="15" customHeight="1">
      <c r="A87" s="604"/>
      <c r="B87" s="588" t="s">
        <v>49</v>
      </c>
      <c r="C87" s="586">
        <f>'ｼｰﾄNO.3（表-3）59頁'!$F$30</f>
        <v>9</v>
      </c>
      <c r="D87" s="216" t="s">
        <v>65</v>
      </c>
      <c r="E87" s="342">
        <f>'ｼｰﾄNO.4（表-4）60頁'!S14</f>
        <v>39.9</v>
      </c>
      <c r="F87" s="590">
        <f>'ｼｰﾄNO.4（表-4）60頁'!O14/1000</f>
        <v>0.84799999999999998</v>
      </c>
      <c r="G87" s="590">
        <f>'ｼｰﾄNO.4（表-4）60頁'!O14/1000/('ｼｰﾄNO.4（表-4）60頁'!P14/3600)</f>
        <v>10.348474576271187</v>
      </c>
      <c r="H87" s="219">
        <f>-2.71095565/G87-0.09453616*G87+0.00089493*G87^2+3.15403637</f>
        <v>2.0096035123492295</v>
      </c>
      <c r="I87" s="592">
        <v>10000</v>
      </c>
      <c r="J87" s="343">
        <f t="shared" ref="J87" si="504">C87*E87*F87*H87/1000000*I87</f>
        <v>6.1195803084934779</v>
      </c>
      <c r="K87" s="219">
        <f t="shared" ref="K87" si="505">1501.20185/G87-2.40935*G87+0.02115*G87^2+174.47635</f>
        <v>296.87326312661497</v>
      </c>
      <c r="L87" s="592">
        <v>2891</v>
      </c>
      <c r="M87" s="343">
        <f t="shared" ref="M87" si="506">C87*E87*F87*K87/1000000*L87</f>
        <v>261.35477260450102</v>
      </c>
      <c r="N87" s="219">
        <f>-0.25063622/G87-0.00657231*G87+0.00005332*G87^2+0.29056757</f>
        <v>0.20404464574723524</v>
      </c>
      <c r="O87" s="592">
        <v>840100</v>
      </c>
      <c r="P87" s="343">
        <f t="shared" ref="P87" si="507">C87*E87*F87*N87/1000000*O87</f>
        <v>52.199632469526627</v>
      </c>
      <c r="Q87" s="219">
        <f>0.093055673/G87-0.0002682273*G87+0.00000218*G87^2+0.0173678037</f>
        <v>2.3817730111812378E-2</v>
      </c>
      <c r="R87" s="592">
        <v>482200</v>
      </c>
      <c r="S87" s="343">
        <f t="shared" ref="S87" si="508">C87*E87*F87*Q87/1000000*R87</f>
        <v>3.4973478770233268</v>
      </c>
      <c r="T87" s="219">
        <f t="shared" ref="T87" si="509">0.630901162/G87-0.001006579*G87+0.000008915*G87^2+0.0072170055</f>
        <v>5.8720783277830778E-2</v>
      </c>
      <c r="U87" s="592">
        <v>160</v>
      </c>
      <c r="V87" s="343">
        <f t="shared" ref="V87" si="510">C87*E87*F87*T87*U87</f>
        <v>2861.034402761366</v>
      </c>
      <c r="W87" s="598"/>
      <c r="X87" s="598"/>
      <c r="Y87" s="598"/>
      <c r="Z87" s="595"/>
    </row>
    <row r="88" spans="1:26" ht="15" customHeight="1">
      <c r="A88" s="604"/>
      <c r="B88" s="589"/>
      <c r="C88" s="587"/>
      <c r="D88" s="217" t="s">
        <v>66</v>
      </c>
      <c r="E88" s="344">
        <f>'ｼｰﾄNO.4（表-4）60頁'!S15</f>
        <v>2.1</v>
      </c>
      <c r="F88" s="591"/>
      <c r="G88" s="591"/>
      <c r="H88" s="218">
        <f>12.28697452/G87-0.05907844*G87+0.00051753*G87^2+2.69979197</f>
        <v>3.3311652914654406</v>
      </c>
      <c r="I88" s="593"/>
      <c r="J88" s="345">
        <f t="shared" ref="J88" si="511">C87*E88*F87*H88/1000000*I87</f>
        <v>0.53389252359374917</v>
      </c>
      <c r="K88" s="218">
        <f t="shared" ref="K88" si="512">908.52069/G87-23.49889*G87+0.18396*G87^2+1364.81344</f>
        <v>1229.1289370691818</v>
      </c>
      <c r="L88" s="593"/>
      <c r="M88" s="345">
        <f t="shared" ref="M88" si="513">C87*E88*F87*K88/1000000*L87</f>
        <v>56.9512409128643</v>
      </c>
      <c r="N88" s="218">
        <f>9.45345681/G87-0.14325844*G87+0.00124097*G87^2+5.98054622</f>
        <v>5.5444486289054016</v>
      </c>
      <c r="O88" s="593"/>
      <c r="P88" s="345">
        <f t="shared" ref="P88" si="514">C87*E88*F87*N88/1000000*O87</f>
        <v>74.652955333468341</v>
      </c>
      <c r="Q88" s="218">
        <f>0.6037810576/G87-0.0052863845*G87+0.000423961*G87^2+0.3189943526</f>
        <v>0.36803564627634983</v>
      </c>
      <c r="R88" s="593"/>
      <c r="S88" s="345">
        <f t="shared" ref="S88" si="515">C87*E88*F87*Q88/1000000*R87</f>
        <v>2.8442957148021515</v>
      </c>
      <c r="T88" s="218">
        <f t="shared" ref="T88" si="516">0.2877659/G87-0.008903887*G87+0.000069093*G87^2+0.516185391</f>
        <v>0.45925054309216062</v>
      </c>
      <c r="U88" s="593"/>
      <c r="V88" s="345">
        <f t="shared" ref="V88" si="517">C87*E88*F87*T88*U87</f>
        <v>1177.6800486794682</v>
      </c>
      <c r="W88" s="598"/>
      <c r="X88" s="598"/>
      <c r="Y88" s="598"/>
      <c r="Z88" s="595"/>
    </row>
    <row r="89" spans="1:26" ht="15" customHeight="1">
      <c r="A89" s="604"/>
      <c r="B89" s="588" t="s">
        <v>50</v>
      </c>
      <c r="C89" s="586">
        <f>'ｼｰﾄNO.3（表-3）59頁'!$F$30</f>
        <v>9</v>
      </c>
      <c r="D89" s="216" t="s">
        <v>65</v>
      </c>
      <c r="E89" s="342">
        <f>'ｼｰﾄNO.4（表-4）60頁'!S16</f>
        <v>147.25</v>
      </c>
      <c r="F89" s="590">
        <f>'ｼｰﾄNO.4（表-4）60頁'!O16/1000</f>
        <v>0.91</v>
      </c>
      <c r="G89" s="590">
        <f>'ｼｰﾄNO.4（表-4）60頁'!O16/1000/('ｼｰﾄNO.4（表-4）60頁'!P16/3600)</f>
        <v>10.601941747572816</v>
      </c>
      <c r="H89" s="219">
        <f>-2.71095565/G89-0.09453616*G89+0.00089493*G89^2+3.15403637</f>
        <v>1.9966569943899946</v>
      </c>
      <c r="I89" s="592">
        <v>10000</v>
      </c>
      <c r="J89" s="343">
        <f t="shared" ref="J89" si="518">C89*E89*F89*H89/1000000*I89</f>
        <v>24.079234104519596</v>
      </c>
      <c r="K89" s="219">
        <f t="shared" ref="K89" si="519">1501.20185/G89-2.40935*G89+0.02115*G89^2+174.47635</f>
        <v>292.90672416404601</v>
      </c>
      <c r="L89" s="592">
        <v>2891</v>
      </c>
      <c r="M89" s="343">
        <f t="shared" ref="M89" si="520">C89*E89*F89*K89/1000000*L89</f>
        <v>1021.213714657118</v>
      </c>
      <c r="N89" s="219">
        <f>-0.25063622/G89-0.00657231*G89+0.00005332*G89^2+0.29056757</f>
        <v>0.20324095671194409</v>
      </c>
      <c r="O89" s="592">
        <v>840100</v>
      </c>
      <c r="P89" s="343">
        <f t="shared" ref="P89" si="521">C89*E89*F89*N89/1000000*O89</f>
        <v>205.91188793547329</v>
      </c>
      <c r="Q89" s="219">
        <f>0.093055673/G89-0.0002682273*G89+0.00000218*G89^2+0.0173678037</f>
        <v>2.3546337268170004E-2</v>
      </c>
      <c r="R89" s="592">
        <v>482200</v>
      </c>
      <c r="S89" s="343">
        <f t="shared" ref="S89" si="522">C89*E89*F89*Q89/1000000*R89</f>
        <v>13.692721393851969</v>
      </c>
      <c r="T89" s="219">
        <f t="shared" ref="T89" si="523">0.630901162/G89-0.001006579*G89+0.000008915*G89^2+0.0072170055</f>
        <v>5.7055446633221769E-2</v>
      </c>
      <c r="U89" s="592">
        <v>160</v>
      </c>
      <c r="V89" s="343">
        <f t="shared" ref="V89" si="524">C89*E89*F89*T89*U89</f>
        <v>11009.213582738594</v>
      </c>
      <c r="W89" s="598"/>
      <c r="X89" s="598"/>
      <c r="Y89" s="598"/>
      <c r="Z89" s="595"/>
    </row>
    <row r="90" spans="1:26" ht="15" customHeight="1">
      <c r="A90" s="604"/>
      <c r="B90" s="589"/>
      <c r="C90" s="587"/>
      <c r="D90" s="217" t="s">
        <v>66</v>
      </c>
      <c r="E90" s="344">
        <f>'ｼｰﾄNO.4（表-4）60頁'!S17</f>
        <v>7.75</v>
      </c>
      <c r="F90" s="591"/>
      <c r="G90" s="591"/>
      <c r="H90" s="218">
        <f>12.28697452/G89-0.05907844*G89+0.00051753*G89^2+2.69979197</f>
        <v>3.290553008836695</v>
      </c>
      <c r="I90" s="593"/>
      <c r="J90" s="345">
        <f t="shared" ref="J90" si="525">C89*E90*F89*H90/1000000*I89</f>
        <v>2.0885962585338715</v>
      </c>
      <c r="K90" s="218">
        <f t="shared" ref="K90" si="526">908.52069/G89-23.49889*G89+0.18396*G89^2+1364.81344</f>
        <v>1222.0506974494622</v>
      </c>
      <c r="L90" s="593"/>
      <c r="M90" s="345">
        <f t="shared" ref="M90" si="527">C89*E90*F89*K90/1000000*L89</f>
        <v>224.24507787615212</v>
      </c>
      <c r="N90" s="218">
        <f>9.45345681/G89-0.14325844*G89+0.00124097*G89^2+5.98054622</f>
        <v>5.4928872710103001</v>
      </c>
      <c r="O90" s="593"/>
      <c r="P90" s="345">
        <f t="shared" ref="P90" si="528">C89*E90*F89*N90/1000000*O89</f>
        <v>292.89858606846002</v>
      </c>
      <c r="Q90" s="218">
        <f>0.6037810576/G89-0.0052863845*G89+0.000423961*G89^2+0.3189943526</f>
        <v>0.36755216881962582</v>
      </c>
      <c r="R90" s="593"/>
      <c r="S90" s="345">
        <f t="shared" ref="S90" si="529">C89*E90*F89*Q90/1000000*R89</f>
        <v>11.249463218071664</v>
      </c>
      <c r="T90" s="218">
        <f t="shared" ref="T90" si="530">0.2877659/G89-0.008903887*G89+0.000069093*G89^2+0.516185391</f>
        <v>0.45669578796026461</v>
      </c>
      <c r="U90" s="593"/>
      <c r="V90" s="345">
        <f t="shared" ref="V90" si="531">C89*E90*F89*T90*U89</f>
        <v>4638.0197442092631</v>
      </c>
      <c r="W90" s="598"/>
      <c r="X90" s="598"/>
      <c r="Y90" s="598"/>
      <c r="Z90" s="595"/>
    </row>
    <row r="91" spans="1:26" ht="15" customHeight="1">
      <c r="A91" s="604"/>
      <c r="B91" s="588" t="s">
        <v>51</v>
      </c>
      <c r="C91" s="586">
        <f>'ｼｰﾄNO.3（表-3）59頁'!$F$30</f>
        <v>9</v>
      </c>
      <c r="D91" s="216" t="s">
        <v>65</v>
      </c>
      <c r="E91" s="342">
        <f>'ｼｰﾄNO.4（表-4）60頁'!S18</f>
        <v>56.05</v>
      </c>
      <c r="F91" s="590">
        <f>'ｼｰﾄNO.4（表-4）60頁'!O18/1000</f>
        <v>0.76100000000000001</v>
      </c>
      <c r="G91" s="590">
        <f>'ｼｰﾄNO.4（表-4）60頁'!O18/1000/('ｼｰﾄNO.4（表-4）60頁'!P18/3600)</f>
        <v>22.455737704918032</v>
      </c>
      <c r="H91" s="219">
        <f>-2.71095565/G91-0.09453616*G91+0.00089493*G91^2+3.15403637</f>
        <v>1.3617102902871472</v>
      </c>
      <c r="I91" s="592">
        <v>10000</v>
      </c>
      <c r="J91" s="343">
        <f t="shared" ref="J91" si="532">C91*E91*F91*H91/1000000*I91</f>
        <v>5.2274212926680246</v>
      </c>
      <c r="K91" s="219">
        <f t="shared" ref="K91" si="533">1501.20185/G91-2.40935*G91+0.02115*G91^2+174.47635</f>
        <v>197.88931421115365</v>
      </c>
      <c r="L91" s="592">
        <v>2891</v>
      </c>
      <c r="M91" s="343">
        <f t="shared" ref="M91" si="534">C91*E91*F91*K91/1000000*L91</f>
        <v>219.62067310688846</v>
      </c>
      <c r="N91" s="219">
        <f>-0.25063622/G91-0.00657231*G91+0.00005332*G91^2+0.29056757</f>
        <v>0.15870730773725159</v>
      </c>
      <c r="O91" s="592">
        <v>840100</v>
      </c>
      <c r="P91" s="343">
        <f t="shared" ref="P91" si="535">C91*E91*F91*N91/1000000*O91</f>
        <v>51.183583921796902</v>
      </c>
      <c r="Q91" s="219">
        <f>0.093055673/G91-0.0002682273*G91+0.00000218*G91^2+0.0173678037</f>
        <v>1.6587808686540848E-2</v>
      </c>
      <c r="R91" s="592">
        <v>482200</v>
      </c>
      <c r="S91" s="343">
        <f t="shared" ref="S91" si="536">C91*E91*F91*Q91/1000000*R91</f>
        <v>3.0705700321564593</v>
      </c>
      <c r="T91" s="219">
        <f t="shared" ref="T91" si="537">0.630901162/G91-0.001006579*G91+0.000008915*G91^2+0.0072170055</f>
        <v>1.7204331914952797E-2</v>
      </c>
      <c r="U91" s="592">
        <v>160</v>
      </c>
      <c r="V91" s="343">
        <f t="shared" ref="V91" si="538">C91*E91*F91*T91*U91</f>
        <v>1056.7215845524688</v>
      </c>
      <c r="W91" s="598"/>
      <c r="X91" s="598"/>
      <c r="Y91" s="598"/>
      <c r="Z91" s="595"/>
    </row>
    <row r="92" spans="1:26" ht="15" customHeight="1">
      <c r="A92" s="604"/>
      <c r="B92" s="589"/>
      <c r="C92" s="587"/>
      <c r="D92" s="217" t="s">
        <v>66</v>
      </c>
      <c r="E92" s="344">
        <f>'ｼｰﾄNO.4（表-4）60頁'!S19</f>
        <v>2.95</v>
      </c>
      <c r="F92" s="591"/>
      <c r="G92" s="591"/>
      <c r="H92" s="218">
        <f>12.28697452/G91-0.05907844*G91+0.00051753*G91^2+2.69979197</f>
        <v>2.1812759207390053</v>
      </c>
      <c r="I92" s="593"/>
      <c r="J92" s="345">
        <f t="shared" ref="J92" si="539">C91*E92*F91*H92/1000000*I91</f>
        <v>0.44071698404367277</v>
      </c>
      <c r="K92" s="218">
        <f t="shared" ref="K92" si="540">908.52069/G91-23.49889*G91+0.18396*G91^2+1364.81344</f>
        <v>970.35051548442675</v>
      </c>
      <c r="L92" s="593"/>
      <c r="M92" s="345">
        <f t="shared" ref="M92" si="541">C91*E92*F91*K92/1000000*L91</f>
        <v>56.679487512560861</v>
      </c>
      <c r="N92" s="218">
        <f>9.45345681/G91-0.14325844*G91+0.00124097*G91^2+5.98054622</f>
        <v>3.8103257898887928</v>
      </c>
      <c r="O92" s="593"/>
      <c r="P92" s="345">
        <f t="shared" ref="P92" si="542">C91*E92*F91*N92/1000000*O91</f>
        <v>64.675869659795808</v>
      </c>
      <c r="Q92" s="218">
        <f>0.6037810576/G91-0.0052863845*G91+0.000423961*G91^2+0.3189943526</f>
        <v>0.44095893612920245</v>
      </c>
      <c r="R92" s="593"/>
      <c r="S92" s="345">
        <f t="shared" ref="S92" si="543">C91*E92*F91*Q92/1000000*R91</f>
        <v>4.2961015281457851</v>
      </c>
      <c r="T92" s="218">
        <f t="shared" ref="T92" si="544">0.2877659/G91-0.008903887*G91+0.000069093*G91^2+0.516185391</f>
        <v>0.36389769193147037</v>
      </c>
      <c r="U92" s="593"/>
      <c r="V92" s="345">
        <f t="shared" ref="V92" si="545">C91*E92*F91*T92*U91</f>
        <v>1176.3822578422382</v>
      </c>
      <c r="W92" s="598"/>
      <c r="X92" s="598"/>
      <c r="Y92" s="598"/>
      <c r="Z92" s="595"/>
    </row>
    <row r="93" spans="1:26" ht="15" customHeight="1">
      <c r="A93" s="604"/>
      <c r="B93" s="588" t="s">
        <v>52</v>
      </c>
      <c r="C93" s="586">
        <f>'ｼｰﾄNO.3（表-3）59頁'!$F$30</f>
        <v>9</v>
      </c>
      <c r="D93" s="216" t="s">
        <v>65</v>
      </c>
      <c r="E93" s="342">
        <f>'ｼｰﾄNO.4（表-4）60頁'!S20</f>
        <v>158.65</v>
      </c>
      <c r="F93" s="590">
        <f>'ｼｰﾄNO.4（表-4）60頁'!O20/1000</f>
        <v>0.84799999999999998</v>
      </c>
      <c r="G93" s="590">
        <f>'ｼｰﾄNO.4（表-4）60頁'!O20/1000/('ｼｰﾄNO.4（表-4）60頁'!P20/3600)</f>
        <v>27.257142857142856</v>
      </c>
      <c r="H93" s="219">
        <f>-2.71095565/G93-0.09453616*G93+0.00089493*G93^2+3.15403637</f>
        <v>1.1426820983448174</v>
      </c>
      <c r="I93" s="592">
        <v>10000</v>
      </c>
      <c r="J93" s="343">
        <f t="shared" ref="J93" si="546">C93*E93*F93*H93/1000000*I93</f>
        <v>13.83578681735157</v>
      </c>
      <c r="K93" s="219">
        <f t="shared" ref="K93" si="547">1501.20185/G93-2.40935*G93+0.02115*G93^2+174.47635</f>
        <v>179.59332377431224</v>
      </c>
      <c r="L93" s="592">
        <v>2891</v>
      </c>
      <c r="M93" s="343">
        <f t="shared" ref="M93" si="548">C93*E93*F93*K93/1000000*L93</f>
        <v>628.6612878996084</v>
      </c>
      <c r="N93" s="219">
        <f>-0.25063622/G93-0.00657231*G93+0.00005332*G93^2+0.29056757</f>
        <v>0.14184412020183973</v>
      </c>
      <c r="O93" s="592">
        <v>840100</v>
      </c>
      <c r="P93" s="343">
        <f t="shared" ref="P93" si="549">C93*E93*F93*N93/1000000*O93</f>
        <v>144.28485945052196</v>
      </c>
      <c r="Q93" s="219">
        <f>0.093055673/G93-0.0002682273*G93+0.00000218*G93^2+0.0173678037</f>
        <v>1.5090321065812691E-2</v>
      </c>
      <c r="R93" s="592">
        <v>482200</v>
      </c>
      <c r="S93" s="343">
        <f t="shared" ref="S93" si="550">C93*E93*F93*Q93/1000000*R93</f>
        <v>8.8105723980428934</v>
      </c>
      <c r="T93" s="219">
        <f t="shared" ref="T93" si="551">0.630901162/G93-0.001006579*G93+0.000008915*G93^2+0.0072170055</f>
        <v>9.5502225706113886E-3</v>
      </c>
      <c r="U93" s="592">
        <v>160</v>
      </c>
      <c r="V93" s="343">
        <f t="shared" ref="V93" si="552">C93*E93*F93*T93*U93</f>
        <v>1850.1711891576729</v>
      </c>
      <c r="W93" s="598"/>
      <c r="X93" s="598"/>
      <c r="Y93" s="598"/>
      <c r="Z93" s="595"/>
    </row>
    <row r="94" spans="1:26" ht="15" customHeight="1">
      <c r="A94" s="604"/>
      <c r="B94" s="589"/>
      <c r="C94" s="587"/>
      <c r="D94" s="217" t="s">
        <v>66</v>
      </c>
      <c r="E94" s="344">
        <f>'ｼｰﾄNO.4（表-4）60頁'!S21</f>
        <v>8.35</v>
      </c>
      <c r="F94" s="591"/>
      <c r="G94" s="591"/>
      <c r="H94" s="218">
        <f>12.28697452/G93-0.05907844*G93+0.00051753*G93^2+2.69979197</f>
        <v>1.9247623428391907</v>
      </c>
      <c r="I94" s="593"/>
      <c r="J94" s="345">
        <f t="shared" ref="J94" si="553">C93*E94*F93*H94/1000000*I93</f>
        <v>1.2265971477458164</v>
      </c>
      <c r="K94" s="218">
        <f t="shared" ref="K94" si="554">908.52069/G93-23.49889*G93+0.18396*G93^2+1364.81344</f>
        <v>894.30573002677443</v>
      </c>
      <c r="L94" s="593"/>
      <c r="M94" s="345">
        <f t="shared" ref="M94" si="555">C93*E94*F93*K94/1000000*L93</f>
        <v>164.76271594276346</v>
      </c>
      <c r="N94" s="218">
        <f>9.45345681/G93-0.14325844*G93+0.00124097*G93^2+5.98054622</f>
        <v>3.3445363316385834</v>
      </c>
      <c r="O94" s="593"/>
      <c r="P94" s="345">
        <f t="shared" ref="P94" si="556">C93*E94*F93*N94/1000000*O93</f>
        <v>179.05717979299394</v>
      </c>
      <c r="Q94" s="218">
        <f>0.6037810576/G93-0.0052863845*G93+0.000423961*G93^2+0.3189943526</f>
        <v>0.51203651540206563</v>
      </c>
      <c r="R94" s="593"/>
      <c r="S94" s="345">
        <f t="shared" ref="S94" si="557">C93*E94*F93*Q94/1000000*R93</f>
        <v>15.734501081212173</v>
      </c>
      <c r="T94" s="218">
        <f t="shared" ref="T94" si="558">0.2877659/G93-0.008903887*G93+0.000069093*G93^2+0.516185391</f>
        <v>0.33538109147407869</v>
      </c>
      <c r="U94" s="593"/>
      <c r="V94" s="345">
        <f t="shared" ref="V94" si="559">C93*E94*F93*T94*U93</f>
        <v>3419.6636628139045</v>
      </c>
      <c r="W94" s="598"/>
      <c r="X94" s="598"/>
      <c r="Y94" s="598"/>
      <c r="Z94" s="595"/>
    </row>
    <row r="95" spans="1:26" ht="15" customHeight="1">
      <c r="A95" s="604"/>
      <c r="B95" s="588" t="s">
        <v>53</v>
      </c>
      <c r="C95" s="586">
        <f>'ｼｰﾄNO.3（表-3）59頁'!$F$30</f>
        <v>9</v>
      </c>
      <c r="D95" s="216" t="s">
        <v>65</v>
      </c>
      <c r="E95" s="342">
        <f>'ｼｰﾄNO.4（表-4）60頁'!S22</f>
        <v>812.25</v>
      </c>
      <c r="F95" s="590">
        <f>'ｼｰﾄNO.4（表-4）60頁'!O22/1000</f>
        <v>0.61699999999999999</v>
      </c>
      <c r="G95" s="590">
        <f>'ｼｰﾄNO.4（表-4）60頁'!O22/1000/('ｼｰﾄNO.4（表-4）60頁'!P22/3600)</f>
        <v>25.827906976744185</v>
      </c>
      <c r="H95" s="219">
        <f>-2.71095565/G95-0.09453616*G95+0.00089493*G95^2+3.15403637</f>
        <v>1.204393558654802</v>
      </c>
      <c r="I95" s="592">
        <v>10000</v>
      </c>
      <c r="J95" s="343">
        <f t="shared" ref="J95" si="560">C95*E95*F95*H95/1000000*I95</f>
        <v>54.323259135004172</v>
      </c>
      <c r="K95" s="219">
        <f t="shared" ref="K95" si="561">1501.20185/G95-2.40935*G95+0.02115*G95^2+174.47635</f>
        <v>184.4798890864007</v>
      </c>
      <c r="L95" s="592">
        <v>2891</v>
      </c>
      <c r="M95" s="343">
        <f t="shared" ref="M95" si="562">C95*E95*F95*K95/1000000*L95</f>
        <v>2405.5506964922215</v>
      </c>
      <c r="N95" s="219">
        <f>-0.25063622/G95-0.00657231*G95+0.00005332*G95^2+0.29056757</f>
        <v>0.14668322022988287</v>
      </c>
      <c r="O95" s="592">
        <v>840100</v>
      </c>
      <c r="P95" s="343">
        <f t="shared" ref="P95" si="563">C95*E95*F95*N95/1000000*O95</f>
        <v>555.81314537344099</v>
      </c>
      <c r="Q95" s="219">
        <f>0.093055673/G95-0.0002682273*G95+0.00000218*G95^2+0.0173678037</f>
        <v>1.5497201929326231E-2</v>
      </c>
      <c r="R95" s="592">
        <v>482200</v>
      </c>
      <c r="S95" s="343">
        <f t="shared" ref="S95" si="564">C95*E95*F95*Q95/1000000*R95</f>
        <v>33.70527628866251</v>
      </c>
      <c r="T95" s="219">
        <f t="shared" ref="T95" si="565">0.630901162/G95-0.001006579*G95+0.000008915*G95^2+0.0072170055</f>
        <v>1.1593313306914732E-2</v>
      </c>
      <c r="U95" s="592">
        <v>160</v>
      </c>
      <c r="V95" s="343">
        <f t="shared" ref="V95" si="566">C95*E95*F95*T95*U95</f>
        <v>8366.5218363769436</v>
      </c>
      <c r="W95" s="598"/>
      <c r="X95" s="598"/>
      <c r="Y95" s="598"/>
      <c r="Z95" s="595"/>
    </row>
    <row r="96" spans="1:26" ht="15" customHeight="1">
      <c r="A96" s="604"/>
      <c r="B96" s="589"/>
      <c r="C96" s="587"/>
      <c r="D96" s="217" t="s">
        <v>66</v>
      </c>
      <c r="E96" s="344">
        <f>'ｼｰﾄNO.4（表-4）60頁'!S23</f>
        <v>42.75</v>
      </c>
      <c r="F96" s="591"/>
      <c r="G96" s="591"/>
      <c r="H96" s="218">
        <f>12.28697452/G95-0.05907844*G95+0.00051753*G95^2+2.69979197</f>
        <v>1.9948785801086268</v>
      </c>
      <c r="I96" s="593"/>
      <c r="J96" s="345">
        <f t="shared" ref="J96" si="567">C95*E96*F95*H96/1000000*I95</f>
        <v>4.7356572229092198</v>
      </c>
      <c r="K96" s="218">
        <f t="shared" ref="K96" si="568">908.52069/G95-23.49889*G95+0.18396*G95^2+1364.81344</f>
        <v>915.77840672273487</v>
      </c>
      <c r="L96" s="593"/>
      <c r="M96" s="345">
        <f t="shared" ref="M96" si="569">C95*E96*F95*K96/1000000*L95</f>
        <v>628.49566023132229</v>
      </c>
      <c r="N96" s="218">
        <f>9.45345681/G95-0.14325844*G95+0.00124097*G95^2+5.98054622</f>
        <v>3.4743249385475026</v>
      </c>
      <c r="O96" s="593"/>
      <c r="P96" s="345">
        <f t="shared" ref="P96" si="570">C95*E96*F95*N96/1000000*O95</f>
        <v>692.8914637009068</v>
      </c>
      <c r="Q96" s="218">
        <f>0.6037810576/G95-0.0052863845*G95+0.000423961*G95^2+0.3189943526</f>
        <v>0.4886514199373469</v>
      </c>
      <c r="R96" s="593"/>
      <c r="S96" s="345">
        <f t="shared" ref="S96" si="571">C95*E96*F95*Q96/1000000*R95</f>
        <v>55.935839911944512</v>
      </c>
      <c r="T96" s="218">
        <f t="shared" ref="T96" si="572">0.2877659/G95-0.008903887*G95+0.000069093*G95^2+0.516185391</f>
        <v>0.34344890357826996</v>
      </c>
      <c r="U96" s="593"/>
      <c r="V96" s="345">
        <f t="shared" ref="V96" si="573">C95*E96*F95*T96*U95</f>
        <v>13045.054849139709</v>
      </c>
      <c r="W96" s="598"/>
      <c r="X96" s="598"/>
      <c r="Y96" s="598"/>
      <c r="Z96" s="595"/>
    </row>
    <row r="97" spans="1:26" ht="15" customHeight="1">
      <c r="A97" s="604"/>
      <c r="B97" s="588" t="s">
        <v>54</v>
      </c>
      <c r="C97" s="586">
        <f>'ｼｰﾄNO.3（表-3）59頁'!$F$30</f>
        <v>9</v>
      </c>
      <c r="D97" s="216" t="s">
        <v>65</v>
      </c>
      <c r="E97" s="342">
        <f>'ｼｰﾄNO.4（表-4）60頁'!S24</f>
        <v>133.94999999999999</v>
      </c>
      <c r="F97" s="590">
        <f>'ｼｰﾄNO.4（表-4）60頁'!O24/1000</f>
        <v>0.82399999999999995</v>
      </c>
      <c r="G97" s="590">
        <f>'ｼｰﾄNO.4（表-4）60頁'!O24/1000/('ｼｰﾄNO.4（表-4）60頁'!P24/3600)</f>
        <v>28.251428571428569</v>
      </c>
      <c r="H97" s="219">
        <f>-2.71095565/G97-0.09453616*G97+0.00089493*G97^2+3.15403637</f>
        <v>1.1015789275711407</v>
      </c>
      <c r="I97" s="592">
        <v>10000</v>
      </c>
      <c r="J97" s="343">
        <f t="shared" ref="J97" si="574">C97*E97*F97*H97/1000000*I97</f>
        <v>10.942789843339121</v>
      </c>
      <c r="K97" s="219">
        <f t="shared" ref="K97" si="575">1501.20185/G97-2.40935*G97+0.02115*G97^2+174.47635</f>
        <v>176.42670100247904</v>
      </c>
      <c r="L97" s="592">
        <v>2891</v>
      </c>
      <c r="M97" s="343">
        <f t="shared" ref="M97" si="576">C97*E97*F97*K97/1000000*L97</f>
        <v>506.66959595793725</v>
      </c>
      <c r="N97" s="219">
        <f>-0.25063622/G97-0.00657231*G97+0.00005332*G97^2+0.29056757</f>
        <v>0.13857578982474331</v>
      </c>
      <c r="O97" s="592">
        <v>840100</v>
      </c>
      <c r="P97" s="343">
        <f t="shared" ref="P97" si="577">C97*E97*F97*N97/1000000*O97</f>
        <v>115.64604540339352</v>
      </c>
      <c r="Q97" s="219">
        <f>0.093055673/G97-0.0002682273*G97+0.00000218*G97^2+0.0173678037</f>
        <v>1.4823791062784857E-2</v>
      </c>
      <c r="R97" s="592">
        <v>482200</v>
      </c>
      <c r="S97" s="343">
        <f t="shared" ref="S97" si="578">C97*E97*F97*Q97/1000000*R97</f>
        <v>7.1006634716827701</v>
      </c>
      <c r="T97" s="219">
        <f t="shared" ref="T97" si="579">0.630901162/G97-0.001006579*G97+0.000008915*G97^2+0.0072170055</f>
        <v>8.226812761884356E-3</v>
      </c>
      <c r="U97" s="592">
        <v>160</v>
      </c>
      <c r="V97" s="343">
        <f t="shared" ref="V97" si="580">C97*E97*F97*T97*U97</f>
        <v>1307.5672510518239</v>
      </c>
      <c r="W97" s="598"/>
      <c r="X97" s="598"/>
      <c r="Y97" s="598"/>
      <c r="Z97" s="595"/>
    </row>
    <row r="98" spans="1:26" ht="15" customHeight="1">
      <c r="A98" s="604"/>
      <c r="B98" s="589"/>
      <c r="C98" s="587"/>
      <c r="D98" s="217" t="s">
        <v>66</v>
      </c>
      <c r="E98" s="344">
        <f>'ｼｰﾄNO.4（表-4）60頁'!S25</f>
        <v>7.0500000000000007</v>
      </c>
      <c r="F98" s="591"/>
      <c r="G98" s="591"/>
      <c r="H98" s="218">
        <f>12.28697452/G97-0.05907844*G97+0.00051753*G97^2+2.69979197</f>
        <v>1.8787198589432965</v>
      </c>
      <c r="I98" s="593"/>
      <c r="J98" s="345">
        <f t="shared" ref="J98" si="581">C97*E98*F97*H98/1000000*I97</f>
        <v>0.98224734641160583</v>
      </c>
      <c r="K98" s="218">
        <f t="shared" ref="K98" si="582">908.52069/G97-23.49889*G97+0.18396*G97^2+1364.81344</f>
        <v>879.92105194252281</v>
      </c>
      <c r="L98" s="593"/>
      <c r="M98" s="345">
        <f t="shared" ref="M98" si="583">C97*E98*F97*K98/1000000*L97</f>
        <v>132.99969285868104</v>
      </c>
      <c r="N98" s="218">
        <f>9.45345681/G97-0.14325844*G97+0.00124097*G97^2+5.98054622</f>
        <v>3.2583811402419545</v>
      </c>
      <c r="O98" s="593"/>
      <c r="P98" s="345">
        <f t="shared" ref="P98" si="584">C97*E98*F97*N98/1000000*O97</f>
        <v>143.11715889134325</v>
      </c>
      <c r="Q98" s="218">
        <f>0.6037810576/G97-0.0052863845*G97+0.000423961*G97^2+0.3189943526</f>
        <v>0.52939973469078938</v>
      </c>
      <c r="R98" s="593"/>
      <c r="S98" s="345">
        <f t="shared" ref="S98" si="585">C97*E98*F97*Q98/1000000*R97</f>
        <v>13.346572916455532</v>
      </c>
      <c r="T98" s="218">
        <f t="shared" ref="T98" si="586">0.2877659/G97-0.008903887*G97+0.000069093*G97^2+0.516185391</f>
        <v>0.32996986110772486</v>
      </c>
      <c r="U98" s="593"/>
      <c r="V98" s="345">
        <f t="shared" ref="V98" si="587">C97*E98*F97*T98*U97</f>
        <v>2760.2797206916734</v>
      </c>
      <c r="W98" s="598"/>
      <c r="X98" s="598"/>
      <c r="Y98" s="598"/>
      <c r="Z98" s="595"/>
    </row>
    <row r="99" spans="1:26" ht="15" customHeight="1">
      <c r="A99" s="604"/>
      <c r="B99" s="588" t="s">
        <v>55</v>
      </c>
      <c r="C99" s="586">
        <f>'ｼｰﾄNO.3（表-3）59頁'!$F$30</f>
        <v>9</v>
      </c>
      <c r="D99" s="216" t="s">
        <v>65</v>
      </c>
      <c r="E99" s="342">
        <f>'ｼｰﾄNO.4（表-4）60頁'!S26</f>
        <v>46.55</v>
      </c>
      <c r="F99" s="590">
        <f>'ｼｰﾄNO.4（表-4）60頁'!O26/1000</f>
        <v>0.91</v>
      </c>
      <c r="G99" s="590">
        <f>'ｼｰﾄNO.4（表-4）60頁'!O26/1000/('ｼｰﾄNO.4（表-4）60頁'!P26/3600)</f>
        <v>22.135135135135137</v>
      </c>
      <c r="H99" s="219">
        <f>-2.71095565/G99-0.09453616*G99+0.00089493*G99^2+3.15403637</f>
        <v>1.377476395544077</v>
      </c>
      <c r="I99" s="592">
        <v>10000</v>
      </c>
      <c r="J99" s="343">
        <f t="shared" ref="J99" si="588">C99*E99*F99*H99/1000000*I99</f>
        <v>5.2515529968100392</v>
      </c>
      <c r="K99" s="219">
        <f t="shared" ref="K99" si="589">1501.20185/G99-2.40935*G99+0.02115*G99^2+174.47635</f>
        <v>199.32766894705813</v>
      </c>
      <c r="L99" s="592">
        <v>2891</v>
      </c>
      <c r="M99" s="343">
        <f t="shared" ref="M99" si="590">C99*E99*F99*K99/1000000*L99</f>
        <v>219.6945415059165</v>
      </c>
      <c r="N99" s="219">
        <f>-0.25063622/G99-0.00657231*G99+0.00005332*G99^2+0.29056757</f>
        <v>0.15989048770732717</v>
      </c>
      <c r="O99" s="592">
        <v>840100</v>
      </c>
      <c r="P99" s="343">
        <f t="shared" ref="P99" si="591">C99*E99*F99*N99/1000000*O99</f>
        <v>51.210285731122397</v>
      </c>
      <c r="Q99" s="219">
        <f>0.093055673/G99-0.0002682273*G99+0.00000218*G99^2+0.0173678037</f>
        <v>1.6702658482911421E-2</v>
      </c>
      <c r="R99" s="592">
        <v>482200</v>
      </c>
      <c r="S99" s="343">
        <f t="shared" ref="S99" si="592">C99*E99*F99*Q99/1000000*R99</f>
        <v>3.0705515600547697</v>
      </c>
      <c r="T99" s="219">
        <f t="shared" ref="T99" si="593">0.630901162/G99-0.001006579*G99+0.000008915*G99^2+0.0072170055</f>
        <v>1.7806524518158041E-2</v>
      </c>
      <c r="U99" s="592">
        <v>160</v>
      </c>
      <c r="V99" s="343">
        <f t="shared" ref="V99" si="594">C99*E99*F99*T99*U99</f>
        <v>1086.1823258660645</v>
      </c>
      <c r="W99" s="598"/>
      <c r="X99" s="598"/>
      <c r="Y99" s="598"/>
      <c r="Z99" s="595"/>
    </row>
    <row r="100" spans="1:26" ht="15" customHeight="1">
      <c r="A100" s="604"/>
      <c r="B100" s="589"/>
      <c r="C100" s="587"/>
      <c r="D100" s="217" t="s">
        <v>66</v>
      </c>
      <c r="E100" s="344">
        <f>'ｼｰﾄNO.4（表-4）60頁'!S27</f>
        <v>2.4500000000000002</v>
      </c>
      <c r="F100" s="591"/>
      <c r="G100" s="591"/>
      <c r="H100" s="218">
        <f>12.28697452/G99-0.05907844*G99+0.00051753*G99^2+2.69979197</f>
        <v>2.2007430962882273</v>
      </c>
      <c r="I100" s="593"/>
      <c r="J100" s="345">
        <f t="shared" ref="J100" si="595">C99*E100*F99*H100/1000000*I99</f>
        <v>0.44159010598571424</v>
      </c>
      <c r="K100" s="218">
        <f t="shared" ref="K100" si="596">908.52069/G99-23.49889*G99+0.18396*G99^2+1364.81344</f>
        <v>975.84043018336411</v>
      </c>
      <c r="L100" s="593"/>
      <c r="M100" s="345">
        <f t="shared" ref="M100" si="597">C99*E100*F99*K100/1000000*L99</f>
        <v>56.60787930498185</v>
      </c>
      <c r="N100" s="218">
        <f>9.45345681/G99-0.14325844*G99+0.00124097*G99^2+5.98054622</f>
        <v>3.8446114192560543</v>
      </c>
      <c r="O100" s="593"/>
      <c r="P100" s="345">
        <f t="shared" ref="P100" si="598">C99*E100*F99*N100/1000000*O99</f>
        <v>64.808716768832483</v>
      </c>
      <c r="Q100" s="218">
        <f>0.6037810576/G99-0.0052863845*G99+0.000423961*G99^2+0.3189943526</f>
        <v>0.43698227678745916</v>
      </c>
      <c r="R100" s="593"/>
      <c r="S100" s="345">
        <f t="shared" ref="S100" si="599">C99*E100*F99*Q100/1000000*R99</f>
        <v>4.2280587692665383</v>
      </c>
      <c r="T100" s="218">
        <f t="shared" ref="T100" si="600">0.2877659/G99-0.008903887*G99+0.000069093*G99^2+0.516185391</f>
        <v>0.36595015907713091</v>
      </c>
      <c r="U100" s="593"/>
      <c r="V100" s="345">
        <f t="shared" ref="V100" si="601">C99*E100*F99*T100*U99</f>
        <v>1174.8756667139473</v>
      </c>
      <c r="W100" s="598"/>
      <c r="X100" s="598"/>
      <c r="Y100" s="598"/>
      <c r="Z100" s="595"/>
    </row>
    <row r="101" spans="1:26" ht="15" customHeight="1">
      <c r="A101" s="604"/>
      <c r="B101" s="588" t="s">
        <v>56</v>
      </c>
      <c r="C101" s="586">
        <f>'ｼｰﾄNO.3（表-3）59頁'!$F$30</f>
        <v>9</v>
      </c>
      <c r="D101" s="216" t="s">
        <v>65</v>
      </c>
      <c r="E101" s="342">
        <f>'ｼｰﾄNO.4（表-4）60頁'!S28</f>
        <v>733.4</v>
      </c>
      <c r="F101" s="590">
        <f>'ｼｰﾄNO.4（表-4）60頁'!O28/1000</f>
        <v>0.61699999999999999</v>
      </c>
      <c r="G101" s="590">
        <f>'ｼｰﾄNO.4（表-4）60頁'!O28/1000/('ｼｰﾄNO.4（表-4）60頁'!P28/3600)</f>
        <v>27.422222222222224</v>
      </c>
      <c r="H101" s="219">
        <f>-2.71095565/G101-0.09453616*G101+0.00089493*G101^2+3.15403637</f>
        <v>1.1357528880972327</v>
      </c>
      <c r="I101" s="592">
        <v>10000</v>
      </c>
      <c r="J101" s="343">
        <f t="shared" ref="J101" si="602">C101*E101*F101*H101/1000000*I101</f>
        <v>46.254333666287245</v>
      </c>
      <c r="K101" s="219">
        <f t="shared" ref="K101" si="603">1501.20185/G101-2.40935*G101+0.02115*G101^2+174.47635</f>
        <v>179.0549490010805</v>
      </c>
      <c r="L101" s="592">
        <v>2891</v>
      </c>
      <c r="M101" s="343">
        <f t="shared" ref="M101" si="604">C101*E101*F101*K101/1000000*L101</f>
        <v>2108.1572388013496</v>
      </c>
      <c r="N101" s="219">
        <f>-0.25063622/G101-0.00657231*G101+0.00005332*G101^2+0.29056757</f>
        <v>0.14129581153813953</v>
      </c>
      <c r="O101" s="592">
        <v>840100</v>
      </c>
      <c r="P101" s="343">
        <f t="shared" ref="P101" si="605">C101*E101*F101*N101/1000000*O101</f>
        <v>483.42471733338175</v>
      </c>
      <c r="Q101" s="219">
        <f>0.093055673/G101-0.0002682273*G101+0.00000218*G101^2+0.0173678037</f>
        <v>1.5045167968803249E-2</v>
      </c>
      <c r="R101" s="592">
        <v>482200</v>
      </c>
      <c r="S101" s="343">
        <f t="shared" ref="S101" si="606">C101*E101*F101*Q101/1000000*R101</f>
        <v>29.545600813388702</v>
      </c>
      <c r="T101" s="219">
        <f t="shared" ref="T101" si="607">0.630901162/G101-0.001006579*G101+0.000008915*G101^2+0.0072170055</f>
        <v>9.3251893120855564E-3</v>
      </c>
      <c r="U101" s="592">
        <v>160</v>
      </c>
      <c r="V101" s="343">
        <f t="shared" ref="V101" si="608">C101*E101*F101*T101*U101</f>
        <v>6076.3980962813012</v>
      </c>
      <c r="W101" s="598"/>
      <c r="X101" s="598"/>
      <c r="Y101" s="598"/>
      <c r="Z101" s="595"/>
    </row>
    <row r="102" spans="1:26" ht="15" customHeight="1">
      <c r="A102" s="605"/>
      <c r="B102" s="589"/>
      <c r="C102" s="587"/>
      <c r="D102" s="217" t="s">
        <v>66</v>
      </c>
      <c r="E102" s="344">
        <f>'ｼｰﾄNO.4（表-4）60頁'!S29</f>
        <v>38.6</v>
      </c>
      <c r="F102" s="591"/>
      <c r="G102" s="591"/>
      <c r="H102" s="218">
        <f>12.28697452/G101-0.05907844*G101+0.00051753*G101^2+2.69979197</f>
        <v>1.9169675064480942</v>
      </c>
      <c r="I102" s="593"/>
      <c r="J102" s="345">
        <f t="shared" ref="J102" si="609">C101*E102*F101*H102/1000000*I101</f>
        <v>4.1089393374362198</v>
      </c>
      <c r="K102" s="218">
        <f t="shared" ref="K102" si="610">908.52069/G101-23.49889*G101+0.18396*G101^2+1364.81344</f>
        <v>891.88639861627939</v>
      </c>
      <c r="L102" s="593"/>
      <c r="M102" s="345">
        <f t="shared" ref="M102" si="611">C101*E102*F101*K102/1000000*L101</f>
        <v>552.67855156693872</v>
      </c>
      <c r="N102" s="218">
        <f>9.45345681/G101-0.14325844*G101+0.00124097*G101^2+5.98054622</f>
        <v>3.3300009986058909</v>
      </c>
      <c r="O102" s="593"/>
      <c r="P102" s="345">
        <f t="shared" ref="P102" si="612">C101*E102*F101*N102/1000000*O101</f>
        <v>599.63962873226671</v>
      </c>
      <c r="Q102" s="218">
        <f>0.6037810576/G101-0.0052863845*G101+0.000423961*G101^2+0.3189943526</f>
        <v>0.5148573499023007</v>
      </c>
      <c r="R102" s="593"/>
      <c r="S102" s="345">
        <f t="shared" ref="S102" si="613">C101*E102*F101*Q102/1000000*R101</f>
        <v>53.214391587542032</v>
      </c>
      <c r="T102" s="218">
        <f t="shared" ref="T102" si="614">0.2877659/G101-0.008903887*G101+0.000069093*G101^2+0.516185391</f>
        <v>0.33447135201079781</v>
      </c>
      <c r="U102" s="593"/>
      <c r="V102" s="345">
        <f t="shared" ref="V102" si="615">C101*E102*F101*T102*U101</f>
        <v>11470.804723813771</v>
      </c>
      <c r="W102" s="599"/>
      <c r="X102" s="599"/>
      <c r="Y102" s="599"/>
      <c r="Z102" s="595"/>
    </row>
    <row r="103" spans="1:26" ht="15" customHeight="1">
      <c r="A103" s="603" t="s">
        <v>937</v>
      </c>
      <c r="B103" s="588" t="s">
        <v>45</v>
      </c>
      <c r="C103" s="586">
        <f>'ｼｰﾄNO.3（表-3）59頁'!$F$30</f>
        <v>9</v>
      </c>
      <c r="D103" s="216" t="s">
        <v>65</v>
      </c>
      <c r="E103" s="342">
        <f>'ｼｰﾄNO.4（表-4）60頁'!S33</f>
        <v>772.34999999999991</v>
      </c>
      <c r="F103" s="590">
        <f>'ｼｰﾄNO.4（表-4）60頁'!O33/1000</f>
        <v>1.054</v>
      </c>
      <c r="G103" s="590">
        <f>'ｼｰﾄNO.4（表-4）60頁'!O33/1000/('ｼｰﾄNO.4（表-4）60頁'!P33/3600)</f>
        <v>29.643750000000001</v>
      </c>
      <c r="H103" s="219">
        <f>-2.71095565/G103-0.09453616*G103+0.00089493*G103^2+3.15403637</f>
        <v>1.0466003564631281</v>
      </c>
      <c r="I103" s="592">
        <v>10000</v>
      </c>
      <c r="J103" s="343">
        <f>C103*E103*F103*H103/1000000*I103</f>
        <v>76.679301754914221</v>
      </c>
      <c r="K103" s="219">
        <f>1501.20185/G103-2.40935*G103+0.02115*G103^2+174.47635</f>
        <v>172.28121255158959</v>
      </c>
      <c r="L103" s="592">
        <v>2891</v>
      </c>
      <c r="M103" s="343">
        <f>C103*E103*F103*K103/1000000*L103</f>
        <v>3649.0791427542326</v>
      </c>
      <c r="N103" s="219">
        <f>-0.25063622/G103-0.00657231*G103+0.00005332*G103^2+0.29056757</f>
        <v>0.13413976437914132</v>
      </c>
      <c r="O103" s="592">
        <v>840100</v>
      </c>
      <c r="P103" s="343">
        <f>C103*E103*F103*N103/1000000*O103</f>
        <v>825.63062738522092</v>
      </c>
      <c r="Q103" s="219">
        <f>0.093055673/G103-0.0002682273*G103+0.00000218*G103^2+0.0173678037</f>
        <v>1.4471352818974903E-2</v>
      </c>
      <c r="R103" s="592">
        <v>482200</v>
      </c>
      <c r="S103" s="343">
        <f>C103*E103*F103*Q103/1000000*R103</f>
        <v>51.12503392653209</v>
      </c>
      <c r="T103" s="219">
        <f>0.630901162/G103-0.001006579*G103+0.000008915*G103^2+0.0072170055</f>
        <v>6.4950742292543343E-3</v>
      </c>
      <c r="U103" s="592">
        <v>160</v>
      </c>
      <c r="V103" s="343">
        <f>C103*E103*F103*T103*U103</f>
        <v>7613.7983889648076</v>
      </c>
      <c r="W103" s="597">
        <f>SUM(J103:J126)+SUM(M103:M126)+SUM(P103:P126)+SUM(S103:S126)+SUM(V103:V126)</f>
        <v>244725.33400196946</v>
      </c>
      <c r="X103" s="597">
        <f>'ｼｰﾄNO.3（表-3）59頁'!F39</f>
        <v>12</v>
      </c>
      <c r="Y103" s="597">
        <f>W103*X103</f>
        <v>2936704.0080236336</v>
      </c>
      <c r="Z103" s="595"/>
    </row>
    <row r="104" spans="1:26" ht="15" customHeight="1">
      <c r="A104" s="604"/>
      <c r="B104" s="589"/>
      <c r="C104" s="587"/>
      <c r="D104" s="217" t="s">
        <v>66</v>
      </c>
      <c r="E104" s="344">
        <f>'ｼｰﾄNO.4（表-4）60頁'!S34</f>
        <v>40.650000000000006</v>
      </c>
      <c r="F104" s="591"/>
      <c r="G104" s="591"/>
      <c r="H104" s="218">
        <f>12.28697452/G103-0.05907844*G103+0.00051753*G103^2+2.69979197</f>
        <v>1.8177538030136606</v>
      </c>
      <c r="I104" s="593"/>
      <c r="J104" s="345">
        <f>C103*E104*F103*H104/1000000*I103</f>
        <v>7.0093659118950544</v>
      </c>
      <c r="K104" s="218">
        <f>908.52069/G103-23.49889*G103+0.18396*G103^2+1364.81344</f>
        <v>860.52138928887075</v>
      </c>
      <c r="L104" s="593"/>
      <c r="M104" s="345">
        <f>C103*E104*F103*K104/1000000*L103</f>
        <v>959.29776275628376</v>
      </c>
      <c r="N104" s="218">
        <f>9.45345681/G103-0.14325844*G103+0.00124097*G103^2+5.98054622</f>
        <v>3.1432357925564749</v>
      </c>
      <c r="O104" s="593"/>
      <c r="P104" s="345">
        <f>C103*E104*F103*N104/1000000*O103</f>
        <v>1018.2434290554703</v>
      </c>
      <c r="Q104" s="218">
        <f>0.6037810576/G103-0.0052863845*G103+0.000423961*G103^2+0.3189943526</f>
        <v>0.55521053643067186</v>
      </c>
      <c r="R104" s="593"/>
      <c r="S104" s="345">
        <f>C103*E104*F103*Q104/1000000*R103</f>
        <v>103.235383532017</v>
      </c>
      <c r="T104" s="218">
        <f>0.2877659/G103-0.008903887*G103+0.000069093*G103^2+0.516185391</f>
        <v>0.32266386964951294</v>
      </c>
      <c r="U104" s="593"/>
      <c r="V104" s="345">
        <f>C103*E104*F103*T104*U103</f>
        <v>19907.374696589301</v>
      </c>
      <c r="W104" s="598"/>
      <c r="X104" s="598"/>
      <c r="Y104" s="598"/>
      <c r="Z104" s="595"/>
    </row>
    <row r="105" spans="1:26" ht="15" customHeight="1">
      <c r="A105" s="604"/>
      <c r="B105" s="588" t="s">
        <v>46</v>
      </c>
      <c r="C105" s="586">
        <f>'ｼｰﾄNO.3（表-3）59頁'!$F$30</f>
        <v>9</v>
      </c>
      <c r="D105" s="216" t="s">
        <v>65</v>
      </c>
      <c r="E105" s="342">
        <f>'ｼｰﾄNO.4（表-4）60頁'!S35</f>
        <v>148.19999999999999</v>
      </c>
      <c r="F105" s="590">
        <f>'ｼｰﾄNO.4（表-4）60頁'!O35/1000</f>
        <v>0.76100000000000001</v>
      </c>
      <c r="G105" s="590">
        <f>'ｼｰﾄNO.4（表-4）60頁'!O35/1000/('ｼｰﾄNO.4（表-4）60頁'!P35/3600)</f>
        <v>27.955102040816328</v>
      </c>
      <c r="H105" s="219">
        <f>-2.71095565/G105-0.09453616*G105+0.00089493*G105^2+3.15403637</f>
        <v>1.1136698404962537</v>
      </c>
      <c r="I105" s="592">
        <v>10000</v>
      </c>
      <c r="J105" s="343">
        <f t="shared" ref="J105" si="616">C105*E105*F105*H105/1000000*I105</f>
        <v>11.303991661062202</v>
      </c>
      <c r="K105" s="219">
        <f t="shared" ref="K105" si="617">1501.20185/G105-2.40935*G105+0.02115*G105^2+174.47635</f>
        <v>177.35165078551574</v>
      </c>
      <c r="L105" s="592">
        <v>2891</v>
      </c>
      <c r="M105" s="343">
        <f t="shared" ref="M105" si="618">C105*E105*F105*K105/1000000*L105</f>
        <v>520.42565413220871</v>
      </c>
      <c r="N105" s="219">
        <f>-0.25063622/G105-0.00657231*G105+0.00005332*G105^2+0.29056757</f>
        <v>0.13954122906549798</v>
      </c>
      <c r="O105" s="592">
        <v>840100</v>
      </c>
      <c r="P105" s="343">
        <f t="shared" ref="P105" si="619">C105*E105*F105*N105/1000000*O105</f>
        <v>118.98957091918027</v>
      </c>
      <c r="Q105" s="219">
        <f>0.093055673/G105-0.0002682273*G105+0.00000218*G105^2+0.0173678037</f>
        <v>1.4901879955931608E-2</v>
      </c>
      <c r="R105" s="592">
        <v>482200</v>
      </c>
      <c r="S105" s="343">
        <f t="shared" ref="S105" si="620">C105*E105*F105*Q105/1000000*R105</f>
        <v>7.2936284604374961</v>
      </c>
      <c r="T105" s="219">
        <f t="shared" ref="T105" si="621">0.630901162/G105-0.001006579*G105+0.000008915*G105^2+0.0072170055</f>
        <v>8.6133226666943175E-3</v>
      </c>
      <c r="U105" s="592">
        <v>160</v>
      </c>
      <c r="V105" s="343">
        <f t="shared" ref="V105" si="622">C105*E105*F105*T105*U105</f>
        <v>1398.8336443406185</v>
      </c>
      <c r="W105" s="598"/>
      <c r="X105" s="598"/>
      <c r="Y105" s="598"/>
      <c r="Z105" s="595"/>
    </row>
    <row r="106" spans="1:26" ht="15" customHeight="1">
      <c r="A106" s="604"/>
      <c r="B106" s="589"/>
      <c r="C106" s="587"/>
      <c r="D106" s="217" t="s">
        <v>66</v>
      </c>
      <c r="E106" s="344">
        <f>'ｼｰﾄNO.4（表-4）60頁'!S36</f>
        <v>7.8000000000000007</v>
      </c>
      <c r="F106" s="591"/>
      <c r="G106" s="591"/>
      <c r="H106" s="218">
        <f>12.28697452/G105-0.05907844*G105+0.00051753*G105^2+2.69979197</f>
        <v>1.8922167930969032</v>
      </c>
      <c r="I106" s="593"/>
      <c r="J106" s="345">
        <f t="shared" ref="J106" si="623">C105*E106*F105*H106/1000000*I105</f>
        <v>1.0108638396418139</v>
      </c>
      <c r="K106" s="218">
        <f t="shared" ref="K106" si="624">908.52069/G105-23.49889*G105+0.18396*G105^2+1364.81344</f>
        <v>884.1613350837506</v>
      </c>
      <c r="L106" s="593"/>
      <c r="M106" s="345">
        <f t="shared" ref="M106" si="625">C105*E106*F105*K106/1000000*L105</f>
        <v>136.55304206474631</v>
      </c>
      <c r="N106" s="218">
        <f>9.45345681/G105-0.14325844*G105+0.00124097*G105^2+5.98054622</f>
        <v>3.2837104457456512</v>
      </c>
      <c r="O106" s="593"/>
      <c r="P106" s="345">
        <f t="shared" ref="P106" si="626">C105*E106*F105*N106/1000000*O105</f>
        <v>147.37289269037666</v>
      </c>
      <c r="Q106" s="218">
        <f>0.6037810576/G105-0.0052863845*G105+0.000423961*G105^2+0.3189943526</f>
        <v>0.52413149597119757</v>
      </c>
      <c r="R106" s="593"/>
      <c r="S106" s="345">
        <f t="shared" ref="S106" si="627">C105*E106*F105*Q106/1000000*R105</f>
        <v>13.501724216683765</v>
      </c>
      <c r="T106" s="218">
        <f t="shared" ref="T106" si="628">0.2877659/G105-0.008903887*G105+0.000069093*G105^2+0.516185391</f>
        <v>0.33156551285231084</v>
      </c>
      <c r="U106" s="593"/>
      <c r="V106" s="345">
        <f t="shared" ref="V106" si="629">C105*E106*F105*T106*U105</f>
        <v>2834.0734625117957</v>
      </c>
      <c r="W106" s="598"/>
      <c r="X106" s="598"/>
      <c r="Y106" s="598"/>
      <c r="Z106" s="595"/>
    </row>
    <row r="107" spans="1:26" ht="15" customHeight="1">
      <c r="A107" s="604"/>
      <c r="B107" s="588" t="s">
        <v>47</v>
      </c>
      <c r="C107" s="586">
        <f>'ｼｰﾄNO.3（表-3）59頁'!$F$30</f>
        <v>9</v>
      </c>
      <c r="D107" s="216" t="s">
        <v>65</v>
      </c>
      <c r="E107" s="342">
        <f>'ｼｰﾄNO.4（表-4）60頁'!S37</f>
        <v>41.8</v>
      </c>
      <c r="F107" s="590">
        <f>'ｼｰﾄNO.4（表-4）60頁'!O37/1000</f>
        <v>0.82399999999999995</v>
      </c>
      <c r="G107" s="590">
        <f>'ｼｰﾄNO.4（表-4）60頁'!O37/1000/('ｼｰﾄNO.4（表-4）60頁'!P37/3600)</f>
        <v>20.890140845070423</v>
      </c>
      <c r="H107" s="219">
        <f>-2.71095565/G107-0.09453616*G107+0.00089493*G107^2+3.15403637</f>
        <v>1.4399363069505062</v>
      </c>
      <c r="I107" s="592">
        <v>10000</v>
      </c>
      <c r="J107" s="343">
        <f t="shared" ref="J107" si="630">C107*E107*F107*H107/1000000*I107</f>
        <v>4.4636412786801909</v>
      </c>
      <c r="K107" s="219">
        <f t="shared" ref="K107" si="631">1501.20185/G107-2.40935*G107+0.02115*G107^2+174.47635</f>
        <v>205.23624557163208</v>
      </c>
      <c r="L107" s="592">
        <v>2891</v>
      </c>
      <c r="M107" s="343">
        <f t="shared" ref="M107" si="632">C107*E107*F107*K107/1000000*L107</f>
        <v>183.92813025830975</v>
      </c>
      <c r="N107" s="219">
        <f>-0.25063622/G107-0.00657231*G107+0.00005332*G107^2+0.29056757</f>
        <v>0.16454200558911575</v>
      </c>
      <c r="O107" s="592">
        <v>840100</v>
      </c>
      <c r="P107" s="343">
        <f t="shared" ref="P107" si="633">C107*E107*F107*N107/1000000*O107</f>
        <v>42.850290862103371</v>
      </c>
      <c r="Q107" s="219">
        <f>0.093055673/G107-0.0002682273*G107+0.00000218*G107^2+0.0173678037</f>
        <v>1.7170371109281574E-2</v>
      </c>
      <c r="R107" s="592">
        <v>482200</v>
      </c>
      <c r="S107" s="343">
        <f t="shared" ref="S107" si="634">C107*E107*F107*Q107/1000000*R107</f>
        <v>2.5665686831646006</v>
      </c>
      <c r="T107" s="219">
        <f t="shared" ref="T107" si="635">0.630901162/G107-0.001006579*G107+0.000008915*G107^2+0.0072170055</f>
        <v>2.0280821589255878E-2</v>
      </c>
      <c r="U107" s="592">
        <v>160</v>
      </c>
      <c r="V107" s="343">
        <f t="shared" ref="V107" si="636">C107*E107*F107*T107*U107</f>
        <v>1005.8924075948034</v>
      </c>
      <c r="W107" s="598"/>
      <c r="X107" s="598"/>
      <c r="Y107" s="598"/>
      <c r="Z107" s="595"/>
    </row>
    <row r="108" spans="1:26" ht="15" customHeight="1">
      <c r="A108" s="604"/>
      <c r="B108" s="589"/>
      <c r="C108" s="587"/>
      <c r="D108" s="217" t="s">
        <v>66</v>
      </c>
      <c r="E108" s="344">
        <f>'ｼｰﾄNO.4（表-4）60頁'!S38</f>
        <v>2.2000000000000002</v>
      </c>
      <c r="F108" s="591"/>
      <c r="G108" s="591"/>
      <c r="H108" s="218">
        <f>12.28697452/G107-0.05907844*G107+0.00051753*G107^2+2.69979197</f>
        <v>2.2796550619645282</v>
      </c>
      <c r="I108" s="593"/>
      <c r="J108" s="345">
        <f t="shared" ref="J108" si="637">C107*E108*F107*H108/1000000*I107</f>
        <v>0.37193028266963674</v>
      </c>
      <c r="K108" s="218">
        <f t="shared" ref="K108" si="638">908.52069/G107-23.49889*G107+0.18396*G107^2+1364.81344</f>
        <v>997.68849662896787</v>
      </c>
      <c r="L108" s="593"/>
      <c r="M108" s="345">
        <f t="shared" ref="M108" si="639">C107*E108*F107*K108/1000000*L107</f>
        <v>47.058215958340917</v>
      </c>
      <c r="N108" s="218">
        <f>9.45345681/G107-0.14325844*G107+0.00124097*G107^2+5.98054622</f>
        <v>3.9819460185350963</v>
      </c>
      <c r="O108" s="593"/>
      <c r="P108" s="345">
        <f t="shared" ref="P108" si="640">C107*E108*F107*N108/1000000*O107</f>
        <v>54.578142997115357</v>
      </c>
      <c r="Q108" s="218">
        <f>0.6037810576/G107-0.0052863845*G107+0.000423961*G107^2+0.3189943526</f>
        <v>0.42247944182839436</v>
      </c>
      <c r="R108" s="593"/>
      <c r="S108" s="345">
        <f t="shared" ref="S108" si="641">C107*E108*F107*Q108/1000000*R107</f>
        <v>3.3237258033694386</v>
      </c>
      <c r="T108" s="218">
        <f t="shared" ref="T108" si="642">0.2877659/G107-0.008903887*G107+0.000069093*G107^2+0.516185391</f>
        <v>0.37410918497005663</v>
      </c>
      <c r="U108" s="593"/>
      <c r="V108" s="345">
        <f t="shared" ref="V108" si="643">C107*E108*F107*T108*U107</f>
        <v>976.58658793975496</v>
      </c>
      <c r="W108" s="598"/>
      <c r="X108" s="598"/>
      <c r="Y108" s="598"/>
      <c r="Z108" s="595"/>
    </row>
    <row r="109" spans="1:26" ht="15" customHeight="1">
      <c r="A109" s="604"/>
      <c r="B109" s="588" t="s">
        <v>48</v>
      </c>
      <c r="C109" s="586">
        <f>'ｼｰﾄNO.3（表-3）59頁'!$F$30</f>
        <v>9</v>
      </c>
      <c r="D109" s="216" t="s">
        <v>65</v>
      </c>
      <c r="E109" s="342">
        <f>'ｼｰﾄNO.4（表-4）60頁'!S39</f>
        <v>753.34999999999991</v>
      </c>
      <c r="F109" s="590">
        <f>'ｼｰﾄNO.4（表-4）60頁'!O39/1000</f>
        <v>1.054</v>
      </c>
      <c r="G109" s="590">
        <f>'ｼｰﾄNO.4（表-4）60頁'!O39/1000/('ｼｰﾄNO.4（表-4）60頁'!P39/3600)</f>
        <v>28.106666666666669</v>
      </c>
      <c r="H109" s="219">
        <f>-2.71095565/G109-0.09453616*G109+0.00089493*G109^2+3.15403637</f>
        <v>1.1074686435457233</v>
      </c>
      <c r="I109" s="592">
        <v>10000</v>
      </c>
      <c r="J109" s="343">
        <f t="shared" ref="J109" si="644">C109*E109*F109*H109/1000000*I109</f>
        <v>79.142789138075074</v>
      </c>
      <c r="K109" s="219">
        <f t="shared" ref="K109" si="645">1501.20185/G109-2.40935*G109+0.02115*G109^2+174.47635</f>
        <v>176.8766110666287</v>
      </c>
      <c r="L109" s="592">
        <v>2891</v>
      </c>
      <c r="M109" s="343">
        <f t="shared" ref="M109" si="646">C109*E109*F109*K109/1000000*L109</f>
        <v>3654.2513259276229</v>
      </c>
      <c r="N109" s="219">
        <f>-0.25063622/G109-0.00657231*G109+0.00005332*G109^2+0.29056757</f>
        <v>0.13904650557860762</v>
      </c>
      <c r="O109" s="592">
        <v>840100</v>
      </c>
      <c r="P109" s="343">
        <f t="shared" ref="P109" si="647">C109*E109*F109*N109/1000000*O109</f>
        <v>834.77796456603221</v>
      </c>
      <c r="Q109" s="219">
        <f>0.093055673/G109-0.0002682273*G109+0.00000218*G109^2+0.0173678037</f>
        <v>1.4861799363250685E-2</v>
      </c>
      <c r="R109" s="592">
        <v>482200</v>
      </c>
      <c r="S109" s="343">
        <f t="shared" ref="S109" si="648">C109*E109*F109*Q109/1000000*R109</f>
        <v>51.212799044667932</v>
      </c>
      <c r="T109" s="219">
        <f t="shared" ref="T109" si="649">0.630901162/G109-0.001006579*G109+0.000008915*G109^2+0.0072170055</f>
        <v>8.4148119939515022E-3</v>
      </c>
      <c r="U109" s="592">
        <v>160</v>
      </c>
      <c r="V109" s="343">
        <f t="shared" ref="V109" si="650">C109*E109*F109*T109*U109</f>
        <v>9621.5338668788718</v>
      </c>
      <c r="W109" s="598"/>
      <c r="X109" s="598"/>
      <c r="Y109" s="598"/>
      <c r="Z109" s="595"/>
    </row>
    <row r="110" spans="1:26" ht="15" customHeight="1">
      <c r="A110" s="604"/>
      <c r="B110" s="589"/>
      <c r="C110" s="587"/>
      <c r="D110" s="217" t="s">
        <v>66</v>
      </c>
      <c r="E110" s="344">
        <f>'ｼｰﾄNO.4（表-4）60頁'!S40</f>
        <v>39.650000000000006</v>
      </c>
      <c r="F110" s="591"/>
      <c r="G110" s="591"/>
      <c r="H110" s="218">
        <f>12.28697452/G109-0.05907844*G109+0.00051753*G109^2+2.69979197</f>
        <v>1.885289902834439</v>
      </c>
      <c r="I110" s="593"/>
      <c r="J110" s="345">
        <f t="shared" ref="J110" si="651">C109*E110*F109*H110/1000000*I109</f>
        <v>7.09095049725099</v>
      </c>
      <c r="K110" s="218">
        <f t="shared" ref="K110" si="652">908.52069/G109-23.49889*G109+0.18396*G109^2+1364.81344</f>
        <v>881.98758753373545</v>
      </c>
      <c r="L110" s="593"/>
      <c r="M110" s="345">
        <f t="shared" ref="M110" si="653">C109*E110*F109*K110/1000000*L109</f>
        <v>959.04034360182663</v>
      </c>
      <c r="N110" s="218">
        <f>9.45345681/G109-0.14325844*G109+0.00124097*G109^2+5.98054622</f>
        <v>3.2707184807368663</v>
      </c>
      <c r="O110" s="593"/>
      <c r="P110" s="345">
        <f t="shared" ref="P110" si="654">C109*E110*F109*N110/1000000*O109</f>
        <v>1033.4761568692281</v>
      </c>
      <c r="Q110" s="218">
        <f>0.6037810576/G109-0.0052863845*G109+0.000423961*G109^2+0.3189943526</f>
        <v>0.52681618756501214</v>
      </c>
      <c r="R110" s="593"/>
      <c r="S110" s="345">
        <f t="shared" ref="S110" si="655">C109*E110*F109*Q110/1000000*R109</f>
        <v>95.546026170887856</v>
      </c>
      <c r="T110" s="218">
        <f t="shared" ref="T110" si="656">0.2877659/G109-0.008903887*G109+0.000069093*G109^2+0.516185391</f>
        <v>0.33074757103020169</v>
      </c>
      <c r="U110" s="593"/>
      <c r="V110" s="345">
        <f t="shared" ref="V110" si="657">C109*E110*F109*T110*U109</f>
        <v>19904.118934579579</v>
      </c>
      <c r="W110" s="598"/>
      <c r="X110" s="598"/>
      <c r="Y110" s="598"/>
      <c r="Z110" s="595"/>
    </row>
    <row r="111" spans="1:26" ht="15" customHeight="1">
      <c r="A111" s="604"/>
      <c r="B111" s="588" t="s">
        <v>49</v>
      </c>
      <c r="C111" s="586">
        <f>'ｼｰﾄNO.3（表-3）59頁'!$F$30</f>
        <v>9</v>
      </c>
      <c r="D111" s="216" t="s">
        <v>65</v>
      </c>
      <c r="E111" s="342">
        <f>'ｼｰﾄNO.4（表-4）60頁'!S41</f>
        <v>39.9</v>
      </c>
      <c r="F111" s="590">
        <f>'ｼｰﾄNO.4（表-4）60頁'!O41/1000</f>
        <v>0.84799999999999998</v>
      </c>
      <c r="G111" s="590">
        <f>'ｼｰﾄNO.4（表-4）60頁'!O41/1000/('ｼｰﾄNO.4（表-4）60頁'!P41/3600)</f>
        <v>22.121739130434783</v>
      </c>
      <c r="H111" s="219">
        <f>-2.71095565/G111-0.09453616*G111+0.00089493*G111^2+3.15403637</f>
        <v>1.3781380649168646</v>
      </c>
      <c r="I111" s="592">
        <v>10000</v>
      </c>
      <c r="J111" s="343">
        <f t="shared" ref="J111" si="658">C111*E111*F111*H111/1000000*I111</f>
        <v>4.1966619348667589</v>
      </c>
      <c r="K111" s="219">
        <f t="shared" ref="K111" si="659">1501.20185/G111-2.40935*G111+0.02115*G111^2+174.47635</f>
        <v>199.38847439741383</v>
      </c>
      <c r="L111" s="592">
        <v>2891</v>
      </c>
      <c r="M111" s="343">
        <f t="shared" ref="M111" si="660">C111*E111*F111*K111/1000000*L111</f>
        <v>175.53325226148547</v>
      </c>
      <c r="N111" s="219">
        <f>-0.25063622/G111-0.00657231*G111+0.00005332*G111^2+0.29056757</f>
        <v>0.15994006208545791</v>
      </c>
      <c r="O111" s="592">
        <v>840100</v>
      </c>
      <c r="P111" s="343">
        <f t="shared" ref="P111" si="661">C111*E111*F111*N111/1000000*O111</f>
        <v>40.916596597964386</v>
      </c>
      <c r="Q111" s="219">
        <f>0.093055673/G111-0.0002682273*G111+0.00000218*G111^2+0.0173678037</f>
        <v>1.6707504966300572E-2</v>
      </c>
      <c r="R111" s="592">
        <v>482200</v>
      </c>
      <c r="S111" s="343">
        <f t="shared" ref="S111" si="662">C111*E111*F111*Q111/1000000*R111</f>
        <v>2.4532966302808483</v>
      </c>
      <c r="T111" s="219">
        <f t="shared" ref="T111" si="663">0.630901162/G111-0.001006579*G111+0.000008915*G111^2+0.0072170055</f>
        <v>1.7831983037823525E-2</v>
      </c>
      <c r="U111" s="592">
        <v>160</v>
      </c>
      <c r="V111" s="343">
        <f t="shared" ref="V111" si="664">C111*E111*F111*T111*U111</f>
        <v>868.82214597316772</v>
      </c>
      <c r="W111" s="598"/>
      <c r="X111" s="598"/>
      <c r="Y111" s="598"/>
      <c r="Z111" s="595"/>
    </row>
    <row r="112" spans="1:26" ht="15" customHeight="1">
      <c r="A112" s="604"/>
      <c r="B112" s="589"/>
      <c r="C112" s="587"/>
      <c r="D112" s="217" t="s">
        <v>66</v>
      </c>
      <c r="E112" s="344">
        <f>'ｼｰﾄNO.4（表-4）60頁'!S42</f>
        <v>2.1</v>
      </c>
      <c r="F112" s="591"/>
      <c r="G112" s="591"/>
      <c r="H112" s="218">
        <f>12.28697452/G111-0.05907844*G111+0.00051753*G111^2+2.69979197</f>
        <v>2.2015638246949543</v>
      </c>
      <c r="I112" s="593"/>
      <c r="J112" s="345">
        <f t="shared" ref="J112" si="665">C111*E112*F111*H112/1000000*I111</f>
        <v>0.35284903731150968</v>
      </c>
      <c r="K112" s="218">
        <f t="shared" ref="K112" si="666">908.52069/G111-23.49889*G111+0.18396*G111^2+1364.81344</f>
        <v>976.07101263267555</v>
      </c>
      <c r="L112" s="593"/>
      <c r="M112" s="345">
        <f t="shared" ref="M112" si="667">C111*E112*F111*K112/1000000*L111</f>
        <v>45.225894299629616</v>
      </c>
      <c r="N112" s="218">
        <f>9.45345681/G111-0.14325844*G111+0.00124097*G111^2+5.98054622</f>
        <v>3.8460534033653042</v>
      </c>
      <c r="O112" s="593"/>
      <c r="P112" s="345">
        <f t="shared" ref="P112" si="668">C111*E112*F111*N112/1000000*O111</f>
        <v>51.784996516100421</v>
      </c>
      <c r="Q112" s="218">
        <f>0.6037810576/G111-0.0052863845*G111+0.000423961*G111^2+0.3189943526</f>
        <v>0.43681825929832552</v>
      </c>
      <c r="R112" s="593"/>
      <c r="S112" s="345">
        <f t="shared" ref="S112" si="669">C111*E112*F111*Q112/1000000*R111</f>
        <v>3.3758694725364764</v>
      </c>
      <c r="T112" s="218">
        <f t="shared" ref="T112" si="670">0.2877659/G111-0.008903887*G111+0.000069093*G111^2+0.516185391</f>
        <v>0.36603634525654594</v>
      </c>
      <c r="U112" s="593"/>
      <c r="V112" s="345">
        <f t="shared" ref="V112" si="671">C111*E112*F111*T112*U111</f>
        <v>938.64603403131412</v>
      </c>
      <c r="W112" s="598"/>
      <c r="X112" s="598"/>
      <c r="Y112" s="598"/>
      <c r="Z112" s="595"/>
    </row>
    <row r="113" spans="1:26" ht="15" customHeight="1">
      <c r="A113" s="604"/>
      <c r="B113" s="588" t="s">
        <v>50</v>
      </c>
      <c r="C113" s="586">
        <f>'ｼｰﾄNO.3（表-3）59頁'!$F$30</f>
        <v>9</v>
      </c>
      <c r="D113" s="216" t="s">
        <v>65</v>
      </c>
      <c r="E113" s="342">
        <f>'ｼｰﾄNO.4（表-4）60頁'!S43</f>
        <v>147.25</v>
      </c>
      <c r="F113" s="590">
        <f>'ｼｰﾄNO.4（表-4）60頁'!O43/1000</f>
        <v>0.91</v>
      </c>
      <c r="G113" s="590">
        <f>'ｼｰﾄNO.4（表-4）60頁'!O43/1000/('ｼｰﾄNO.4（表-4）60頁'!P43/3600)</f>
        <v>28.241379310344829</v>
      </c>
      <c r="H113" s="219">
        <f>-2.71095565/G113-0.09453616*G113+0.00089493*G113^2+3.15403637</f>
        <v>1.1019867392969447</v>
      </c>
      <c r="I113" s="592">
        <v>10000</v>
      </c>
      <c r="J113" s="343">
        <f t="shared" ref="J113" si="672">C113*E113*F113*H113/1000000*I113</f>
        <v>13.28971212890481</v>
      </c>
      <c r="K113" s="219">
        <f t="shared" ref="K113" si="673">1501.20185/G113-2.40935*G113+0.02115*G113^2+174.47635</f>
        <v>176.457814159549</v>
      </c>
      <c r="L113" s="592">
        <v>2891</v>
      </c>
      <c r="M113" s="343">
        <f t="shared" ref="M113" si="674">C113*E113*F113*K113/1000000*L113</f>
        <v>615.21680798705245</v>
      </c>
      <c r="N113" s="219">
        <f>-0.25063622/G113-0.00657231*G113+0.00005332*G113^2+0.29056757</f>
        <v>0.13860840950136399</v>
      </c>
      <c r="O113" s="592">
        <v>840100</v>
      </c>
      <c r="P113" s="343">
        <f t="shared" ref="P113" si="675">C113*E113*F113*N113/1000000*O113</f>
        <v>140.42995932463916</v>
      </c>
      <c r="Q113" s="219">
        <f>0.093055673/G113-0.0002682273*G113+0.00000218*G113^2+0.0173678037</f>
        <v>1.482642100124365E-2</v>
      </c>
      <c r="R113" s="592">
        <v>482200</v>
      </c>
      <c r="S113" s="343">
        <f t="shared" ref="S113" si="676">C113*E113*F113*Q113/1000000*R113</f>
        <v>8.6218951901457714</v>
      </c>
      <c r="T113" s="219">
        <f t="shared" ref="T113" si="677">0.630901162/G113-0.001006579*G113+0.000008915*G113^2+0.0072170055</f>
        <v>8.2398133702341371E-3</v>
      </c>
      <c r="U113" s="592">
        <v>160</v>
      </c>
      <c r="V113" s="343">
        <f t="shared" ref="V113" si="678">C113*E113*F113*T113*U113</f>
        <v>1589.9247245922461</v>
      </c>
      <c r="W113" s="598"/>
      <c r="X113" s="598"/>
      <c r="Y113" s="598"/>
      <c r="Z113" s="595"/>
    </row>
    <row r="114" spans="1:26" ht="15" customHeight="1">
      <c r="A114" s="604"/>
      <c r="B114" s="589"/>
      <c r="C114" s="587"/>
      <c r="D114" s="217" t="s">
        <v>66</v>
      </c>
      <c r="E114" s="344">
        <f>'ｼｰﾄNO.4（表-4）60頁'!S44</f>
        <v>7.75</v>
      </c>
      <c r="F114" s="591"/>
      <c r="G114" s="591"/>
      <c r="H114" s="218">
        <f>12.28697452/G113-0.05907844*G113+0.00051753*G113^2+2.69979197</f>
        <v>1.8791745040293331</v>
      </c>
      <c r="I114" s="593"/>
      <c r="J114" s="345">
        <f t="shared" ref="J114" si="679">C113*E114*F113*H114/1000000*I113</f>
        <v>1.1927590370700185</v>
      </c>
      <c r="K114" s="218">
        <f t="shared" ref="K114" si="680">908.52069/G113-23.49889*G113+0.18396*G113^2+1364.81344</f>
        <v>880.0642053843103</v>
      </c>
      <c r="L114" s="593"/>
      <c r="M114" s="345">
        <f t="shared" ref="M114" si="681">C113*E114*F113*K114/1000000*L113</f>
        <v>161.49089942365507</v>
      </c>
      <c r="N114" s="218">
        <f>9.45345681/G113-0.14325844*G113+0.00124097*G113^2+5.98054622</f>
        <v>3.2592353383499497</v>
      </c>
      <c r="O114" s="593"/>
      <c r="P114" s="345">
        <f t="shared" ref="P114" si="682">C113*E114*F113*N114/1000000*O113</f>
        <v>173.79301179277181</v>
      </c>
      <c r="Q114" s="218">
        <f>0.6037810576/G113-0.0052863845*G113+0.000423961*G113^2+0.3189943526</f>
        <v>0.52921977642705476</v>
      </c>
      <c r="R114" s="593"/>
      <c r="S114" s="345">
        <f t="shared" ref="S114" si="683">C113*E114*F113*Q114/1000000*R113</f>
        <v>16.197533069418178</v>
      </c>
      <c r="T114" s="218">
        <f t="shared" ref="T114" si="684">0.2877659/G113-0.008903887*G113+0.000069093*G113^2+0.516185391</f>
        <v>0.33002373823036568</v>
      </c>
      <c r="U114" s="593"/>
      <c r="V114" s="345">
        <f t="shared" ref="V114" si="685">C113*E114*F113*T114*U113</f>
        <v>3351.589075972302</v>
      </c>
      <c r="W114" s="598"/>
      <c r="X114" s="598"/>
      <c r="Y114" s="598"/>
      <c r="Z114" s="595"/>
    </row>
    <row r="115" spans="1:26" ht="15" customHeight="1">
      <c r="A115" s="604"/>
      <c r="B115" s="588" t="s">
        <v>51</v>
      </c>
      <c r="C115" s="586">
        <f>'ｼｰﾄNO.3（表-3）59頁'!$F$30</f>
        <v>9</v>
      </c>
      <c r="D115" s="216" t="s">
        <v>65</v>
      </c>
      <c r="E115" s="342">
        <f>'ｼｰﾄNO.4（表-4）60頁'!S45</f>
        <v>54.15</v>
      </c>
      <c r="F115" s="590">
        <f>'ｼｰﾄNO.4（表-4）60頁'!O45/1000</f>
        <v>0.76100000000000001</v>
      </c>
      <c r="G115" s="590">
        <f>'ｼｰﾄNO.4（表-4）60頁'!O45/1000/('ｼｰﾄNO.4（表-4）60頁'!P45/3600)</f>
        <v>21.073846153846155</v>
      </c>
      <c r="H115" s="219">
        <f>-2.71095565/G115-0.09453616*G115+0.00089493*G115^2+3.15403637</f>
        <v>1.4305997852133931</v>
      </c>
      <c r="I115" s="592">
        <v>10000</v>
      </c>
      <c r="J115" s="343">
        <f t="shared" ref="J115" si="686">C115*E115*F115*H115/1000000*I115</f>
        <v>5.3057133485137156</v>
      </c>
      <c r="K115" s="219">
        <f t="shared" ref="K115" si="687">1501.20185/G115-2.40935*G115+0.02115*G115^2+174.47635</f>
        <v>204.33024625053557</v>
      </c>
      <c r="L115" s="592">
        <v>2891</v>
      </c>
      <c r="M115" s="343">
        <f t="shared" ref="M115" si="688">C115*E115*F115*K115/1000000*L115</f>
        <v>219.08183872005773</v>
      </c>
      <c r="N115" s="219">
        <f>-0.25063622/G115-0.00657231*G115+0.00005332*G115^2+0.29056757</f>
        <v>0.16385026925506777</v>
      </c>
      <c r="O115" s="592">
        <v>840100</v>
      </c>
      <c r="P115" s="343">
        <f t="shared" ref="P115" si="689">C115*E115*F115*N115/1000000*O115</f>
        <v>51.050943305730051</v>
      </c>
      <c r="Q115" s="219">
        <f>0.093055673/G115-0.0002682273*G115+0.00000218*G115^2+0.0173678037</f>
        <v>1.7099070893290356E-2</v>
      </c>
      <c r="R115" s="592">
        <v>482200</v>
      </c>
      <c r="S115" s="343">
        <f t="shared" ref="S115" si="690">C115*E115*F115*Q115/1000000*R115</f>
        <v>3.0579145553083822</v>
      </c>
      <c r="T115" s="219">
        <f t="shared" ref="T115" si="691">0.630901162/G115-0.001006579*G115+0.000008915*G115^2+0.0072170055</f>
        <v>1.9901365611669955E-2</v>
      </c>
      <c r="U115" s="592">
        <v>160</v>
      </c>
      <c r="V115" s="343">
        <f t="shared" ref="V115" si="692">C115*E115*F115*T115*U115</f>
        <v>1180.9417814359736</v>
      </c>
      <c r="W115" s="598"/>
      <c r="X115" s="598"/>
      <c r="Y115" s="598"/>
      <c r="Z115" s="595"/>
    </row>
    <row r="116" spans="1:26" ht="15" customHeight="1">
      <c r="A116" s="604"/>
      <c r="B116" s="589"/>
      <c r="C116" s="587"/>
      <c r="D116" s="217" t="s">
        <v>66</v>
      </c>
      <c r="E116" s="344">
        <f>'ｼｰﾄNO.4（表-4）60頁'!S46</f>
        <v>2.85</v>
      </c>
      <c r="F116" s="591"/>
      <c r="G116" s="591"/>
      <c r="H116" s="218">
        <f>12.28697452/G115-0.05907844*G115+0.00051753*G115^2+2.69979197</f>
        <v>2.2676644668405439</v>
      </c>
      <c r="I116" s="593"/>
      <c r="J116" s="345">
        <f t="shared" ref="J116" si="693">C115*E116*F115*H116/1000000*I115</f>
        <v>0.44264016710164028</v>
      </c>
      <c r="K116" s="218">
        <f t="shared" ref="K116" si="694">908.52069/G115-23.49889*G115+0.18396*G115^2+1364.81344</f>
        <v>994.41065940975068</v>
      </c>
      <c r="L116" s="593"/>
      <c r="M116" s="345">
        <f t="shared" ref="M116" si="695">C115*E116*F115*K116/1000000*L115</f>
        <v>56.115894348796338</v>
      </c>
      <c r="N116" s="218">
        <f>9.45345681/G115-0.14325844*G115+0.00124097*G115^2+5.98054622</f>
        <v>3.9612505093536647</v>
      </c>
      <c r="O116" s="593"/>
      <c r="P116" s="345">
        <f t="shared" ref="P116" si="696">C115*E116*F115*N116/1000000*O115</f>
        <v>64.958399966470921</v>
      </c>
      <c r="Q116" s="218">
        <f>0.6037810576/G115-0.0052863845*G115+0.000423961*G115^2+0.3189943526</f>
        <v>0.42452467236847946</v>
      </c>
      <c r="R116" s="593"/>
      <c r="S116" s="345">
        <f t="shared" ref="S116" si="697">C115*E116*F115*Q116/1000000*R115</f>
        <v>3.9957855107249425</v>
      </c>
      <c r="T116" s="218">
        <f t="shared" ref="T116" si="698">0.2877659/G115-0.008903887*G115+0.000069093*G115^2+0.516185391</f>
        <v>0.37288605065992542</v>
      </c>
      <c r="U116" s="593"/>
      <c r="V116" s="345">
        <f t="shared" ref="V116" si="699">C115*E116*F115*T116*U115</f>
        <v>1164.5768318022422</v>
      </c>
      <c r="W116" s="598"/>
      <c r="X116" s="598"/>
      <c r="Y116" s="598"/>
      <c r="Z116" s="595"/>
    </row>
    <row r="117" spans="1:26" ht="15" customHeight="1">
      <c r="A117" s="604"/>
      <c r="B117" s="588" t="s">
        <v>52</v>
      </c>
      <c r="C117" s="586">
        <f>'ｼｰﾄNO.3（表-3）59頁'!$F$30</f>
        <v>9</v>
      </c>
      <c r="D117" s="216" t="s">
        <v>65</v>
      </c>
      <c r="E117" s="342">
        <f>'ｼｰﾄNO.4（表-4）60頁'!S47</f>
        <v>158.65</v>
      </c>
      <c r="F117" s="590">
        <f>'ｼｰﾄNO.4（表-4）60頁'!O47/1000</f>
        <v>0.84799999999999998</v>
      </c>
      <c r="G117" s="590">
        <f>'ｼｰﾄNO.4（表-4）60頁'!O47/1000/('ｼｰﾄNO.4（表-4）60頁'!P47/3600)</f>
        <v>27.015929203539823</v>
      </c>
      <c r="H117" s="219">
        <f>-2.71095565/G117-0.09453616*G117+0.00089493*G117^2+3.15403637</f>
        <v>1.1528815962367487</v>
      </c>
      <c r="I117" s="592">
        <v>10000</v>
      </c>
      <c r="J117" s="343">
        <f t="shared" ref="J117" si="700">C117*E117*F117*H117/1000000*I117</f>
        <v>13.959284051342724</v>
      </c>
      <c r="K117" s="219">
        <f t="shared" ref="K117" si="701">1501.20185/G117-2.40935*G117+0.02115*G117^2+174.47635</f>
        <v>180.38935454265564</v>
      </c>
      <c r="L117" s="592">
        <v>2891</v>
      </c>
      <c r="M117" s="343">
        <f t="shared" ref="M117" si="702">C117*E117*F117*K117/1000000*L117</f>
        <v>631.44777081287828</v>
      </c>
      <c r="N117" s="219">
        <f>-0.25063622/G117-0.00657231*G117+0.00005332*G117^2+0.29056757</f>
        <v>0.14264931690247595</v>
      </c>
      <c r="O117" s="592">
        <v>840100</v>
      </c>
      <c r="P117" s="343">
        <f t="shared" ref="P117" si="703">C117*E117*F117*N117/1000000*O117</f>
        <v>145.10391132673655</v>
      </c>
      <c r="Q117" s="219">
        <f>0.093055673/G117-0.0002682273*G117+0.00000218*G117^2+0.0173678037</f>
        <v>1.5156963960931729E-2</v>
      </c>
      <c r="R117" s="592">
        <v>482200</v>
      </c>
      <c r="S117" s="343">
        <f t="shared" ref="S117" si="704">C117*E117*F117*Q117/1000000*R117</f>
        <v>8.8494822429494864</v>
      </c>
      <c r="T117" s="219">
        <f t="shared" ref="T117" si="705">0.630901162/G117-0.001006579*G117+0.000008915*G117^2+0.0072170055</f>
        <v>9.8829764007988853E-3</v>
      </c>
      <c r="U117" s="592">
        <v>160</v>
      </c>
      <c r="V117" s="343">
        <f t="shared" ref="V117" si="706">C117*E117*F117*T117*U117</f>
        <v>1914.6358176145318</v>
      </c>
      <c r="W117" s="598"/>
      <c r="X117" s="598"/>
      <c r="Y117" s="598"/>
      <c r="Z117" s="595"/>
    </row>
    <row r="118" spans="1:26" ht="15" customHeight="1">
      <c r="A118" s="604"/>
      <c r="B118" s="589"/>
      <c r="C118" s="587"/>
      <c r="D118" s="217" t="s">
        <v>66</v>
      </c>
      <c r="E118" s="344">
        <f>'ｼｰﾄNO.4（表-4）60頁'!S48</f>
        <v>8.35</v>
      </c>
      <c r="F118" s="591"/>
      <c r="G118" s="591"/>
      <c r="H118" s="218">
        <f>12.28697452/G117-0.05907844*G117+0.00051753*G117^2+2.69979197</f>
        <v>1.936262495169633</v>
      </c>
      <c r="I118" s="593"/>
      <c r="J118" s="345">
        <f t="shared" ref="J118" si="707">C117*E118*F117*H118/1000000*I117</f>
        <v>1.2339258728217422</v>
      </c>
      <c r="K118" s="218">
        <f t="shared" ref="K118" si="708">908.52069/G117-23.49889*G117+0.18396*G117^2+1364.81344</f>
        <v>897.86329051807093</v>
      </c>
      <c r="L118" s="593"/>
      <c r="M118" s="345">
        <f t="shared" ref="M118" si="709">C117*E118*F117*K118/1000000*L117</f>
        <v>165.41814429237175</v>
      </c>
      <c r="N118" s="218">
        <f>9.45345681/G117-0.14325844*G117+0.00124097*G117^2+5.98054622</f>
        <v>3.3659428324603744</v>
      </c>
      <c r="O118" s="593"/>
      <c r="P118" s="345">
        <f t="shared" ref="P118" si="710">C117*E118*F117*N118/1000000*O117</f>
        <v>180.20322435233302</v>
      </c>
      <c r="Q118" s="218">
        <f>0.6037810576/G117-0.0052863845*G117+0.000423961*G117^2+0.3189943526</f>
        <v>0.50795919737527795</v>
      </c>
      <c r="R118" s="593"/>
      <c r="S118" s="345">
        <f t="shared" ref="S118" si="711">C117*E118*F117*Q118/1000000*R117</f>
        <v>15.609208132425971</v>
      </c>
      <c r="T118" s="218">
        <f t="shared" ref="T118" si="712">0.2877659/G117-0.008903887*G117+0.000069093*G117^2+0.516185391</f>
        <v>0.33671856901252295</v>
      </c>
      <c r="U118" s="593"/>
      <c r="V118" s="345">
        <f t="shared" ref="V118" si="713">C117*E118*F117*T118*U117</f>
        <v>3433.3010545879756</v>
      </c>
      <c r="W118" s="598"/>
      <c r="X118" s="598"/>
      <c r="Y118" s="598"/>
      <c r="Z118" s="595"/>
    </row>
    <row r="119" spans="1:26" ht="15" customHeight="1">
      <c r="A119" s="604"/>
      <c r="B119" s="588" t="s">
        <v>53</v>
      </c>
      <c r="C119" s="586">
        <f>'ｼｰﾄNO.3（表-3）59頁'!$F$30</f>
        <v>9</v>
      </c>
      <c r="D119" s="216" t="s">
        <v>65</v>
      </c>
      <c r="E119" s="342">
        <f>'ｼｰﾄNO.4（表-4）60頁'!S49</f>
        <v>738.15</v>
      </c>
      <c r="F119" s="590">
        <f>'ｼｰﾄNO.4（表-4）60頁'!O49/1000</f>
        <v>0.61699999999999999</v>
      </c>
      <c r="G119" s="590">
        <f>'ｼｰﾄNO.4（表-4）60頁'!O49/1000/('ｼｰﾄNO.4（表-4）60頁'!P49/3600)</f>
        <v>24.143478260869564</v>
      </c>
      <c r="H119" s="219">
        <f>-2.71095565/G119-0.09453616*G119+0.00089493*G119^2+3.15403637</f>
        <v>1.2809808781040939</v>
      </c>
      <c r="I119" s="592">
        <v>10000</v>
      </c>
      <c r="J119" s="343">
        <f t="shared" ref="J119" si="714">C119*E119*F119*H119/1000000*I119</f>
        <v>52.506726633130967</v>
      </c>
      <c r="K119" s="219">
        <f t="shared" ref="K119" si="715">1501.20185/G119-2.40935*G119+0.02115*G119^2+174.47635</f>
        <v>190.81311381172065</v>
      </c>
      <c r="L119" s="592">
        <v>2891</v>
      </c>
      <c r="M119" s="343">
        <f t="shared" ref="M119" si="716">C119*E119*F119*K119/1000000*L119</f>
        <v>2261.1460140699032</v>
      </c>
      <c r="N119" s="219">
        <f>-0.25063622/G119-0.00657231*G119+0.00005332*G119^2+0.29056757</f>
        <v>0.15258866173835067</v>
      </c>
      <c r="O119" s="592">
        <v>840100</v>
      </c>
      <c r="P119" s="343">
        <f t="shared" ref="P119" si="717">C119*E119*F119*N119/1000000*O119</f>
        <v>525.44292217803877</v>
      </c>
      <c r="Q119" s="219">
        <f>0.093055673/G119-0.0002682273*G119+0.00000218*G119^2+0.0173678037</f>
        <v>1.601687998620218E-2</v>
      </c>
      <c r="R119" s="592">
        <v>482200</v>
      </c>
      <c r="S119" s="343">
        <f t="shared" ref="S119" si="718">C119*E119*F119*Q119/1000000*R119</f>
        <v>31.657559007630056</v>
      </c>
      <c r="T119" s="219">
        <f t="shared" ref="T119" si="719">0.630901162/G119-0.001006579*G119+0.000008915*G119^2+0.0072170055</f>
        <v>1.4242636555252838E-2</v>
      </c>
      <c r="U119" s="592">
        <v>160</v>
      </c>
      <c r="V119" s="343">
        <f t="shared" ref="V119" si="720">C119*E119*F119*T119*U119</f>
        <v>9340.7698668979392</v>
      </c>
      <c r="W119" s="598"/>
      <c r="X119" s="598"/>
      <c r="Y119" s="598"/>
      <c r="Z119" s="595"/>
    </row>
    <row r="120" spans="1:26" ht="15" customHeight="1">
      <c r="A120" s="604"/>
      <c r="B120" s="589"/>
      <c r="C120" s="587"/>
      <c r="D120" s="217" t="s">
        <v>66</v>
      </c>
      <c r="E120" s="344">
        <f>'ｼｰﾄNO.4（表-4）60頁'!S50</f>
        <v>38.85</v>
      </c>
      <c r="F120" s="591"/>
      <c r="G120" s="591"/>
      <c r="H120" s="218">
        <f>12.28697452/G119-0.05907844*G119+0.00051753*G119^2+2.69979197</f>
        <v>2.084019924618199</v>
      </c>
      <c r="I120" s="593"/>
      <c r="J120" s="345">
        <f t="shared" ref="J120" si="721">C119*E120*F119*H120/1000000*I119</f>
        <v>4.495940586185788</v>
      </c>
      <c r="K120" s="218">
        <f t="shared" ref="K120" si="722">908.52069/G119-23.49889*G119+0.18396*G119^2+1364.81344</f>
        <v>942.3302380513627</v>
      </c>
      <c r="L120" s="593"/>
      <c r="M120" s="345">
        <f t="shared" ref="M120" si="723">C119*E120*F119*K120/1000000*L119</f>
        <v>587.71924973939474</v>
      </c>
      <c r="N120" s="218">
        <f>9.45345681/G119-0.14325844*G119+0.00124097*G119^2+5.98054622</f>
        <v>3.6367131876493435</v>
      </c>
      <c r="O120" s="593"/>
      <c r="P120" s="345">
        <f t="shared" ref="P120" si="724">C119*E120*F119*N120/1000000*O119</f>
        <v>659.11126260086849</v>
      </c>
      <c r="Q120" s="218">
        <f>0.6037810576/G119-0.0052863845*G119+0.000423961*G119^2+0.3189943526</f>
        <v>0.46350074746832193</v>
      </c>
      <c r="R120" s="593"/>
      <c r="S120" s="345">
        <f t="shared" ref="S120" si="725">C119*E120*F119*Q120/1000000*R119</f>
        <v>48.216573211641425</v>
      </c>
      <c r="T120" s="218">
        <f t="shared" ref="T120" si="726">0.2877659/G119-0.008903887*G119+0.000069093*G119^2+0.516185391</f>
        <v>0.35340841061035722</v>
      </c>
      <c r="U120" s="593"/>
      <c r="V120" s="345">
        <f t="shared" ref="V120" si="727">C119*E120*F119*T120*U119</f>
        <v>12198.756436005657</v>
      </c>
      <c r="W120" s="598"/>
      <c r="X120" s="598"/>
      <c r="Y120" s="598"/>
      <c r="Z120" s="595"/>
    </row>
    <row r="121" spans="1:26" ht="15" customHeight="1">
      <c r="A121" s="604"/>
      <c r="B121" s="588" t="s">
        <v>54</v>
      </c>
      <c r="C121" s="586">
        <f>'ｼｰﾄNO.3（表-3）59頁'!$F$30</f>
        <v>9</v>
      </c>
      <c r="D121" s="216" t="s">
        <v>65</v>
      </c>
      <c r="E121" s="342">
        <f>'ｼｰﾄNO.4（表-4）60頁'!S51</f>
        <v>133</v>
      </c>
      <c r="F121" s="590">
        <f>'ｼｰﾄNO.4（表-4）60頁'!O51/1000</f>
        <v>0.82399999999999995</v>
      </c>
      <c r="G121" s="590">
        <f>'ｼｰﾄNO.4（表-4）60頁'!O51/1000/('ｼｰﾄNO.4（表-4）60頁'!P51/3600)</f>
        <v>7.2351219512195115</v>
      </c>
      <c r="H121" s="219">
        <f>-2.71095565/G121-0.09453616*G121+0.00089493*G121^2+3.15403637</f>
        <v>2.1422087718359704</v>
      </c>
      <c r="I121" s="592">
        <v>10000</v>
      </c>
      <c r="J121" s="343">
        <f t="shared" ref="J121" si="728">C121*E121*F121*H121/1000000*I121</f>
        <v>21.129204935074288</v>
      </c>
      <c r="K121" s="219">
        <f t="shared" ref="K121" si="729">1501.20185/G121-2.40935*G121+0.02115*G121^2+174.47635</f>
        <v>365.63966753271723</v>
      </c>
      <c r="L121" s="592">
        <v>2891</v>
      </c>
      <c r="M121" s="343">
        <f t="shared" ref="M121" si="730">C121*E121*F121*K121/1000000*L121</f>
        <v>1042.612096016825</v>
      </c>
      <c r="N121" s="219">
        <f>-0.25063622/G121-0.00657231*G121+0.00005332*G121^2+0.29056757</f>
        <v>0.21116564445347888</v>
      </c>
      <c r="O121" s="592">
        <v>840100</v>
      </c>
      <c r="P121" s="343">
        <f t="shared" ref="P121" si="731">C121*E121*F121*N121/1000000*O121</f>
        <v>174.97484157928542</v>
      </c>
      <c r="Q121" s="219">
        <f>0.093055673/G121-0.0002682273*G121+0.00000218*G121^2+0.0173678037</f>
        <v>2.8402922137960581E-2</v>
      </c>
      <c r="R121" s="592">
        <v>482200</v>
      </c>
      <c r="S121" s="343">
        <f t="shared" ref="S121" si="732">C121*E121*F121*Q121/1000000*R121</f>
        <v>13.508638859765663</v>
      </c>
      <c r="T121" s="219">
        <f t="shared" ref="T121" si="733">0.630901162/G121-0.001006579*G121+0.000008915*G121^2+0.0072170055</f>
        <v>8.7600753621962194E-2</v>
      </c>
      <c r="U121" s="592">
        <v>160</v>
      </c>
      <c r="V121" s="343">
        <f t="shared" ref="V121" si="734">C121*E121*F121*T121*U121</f>
        <v>13824.492178950837</v>
      </c>
      <c r="W121" s="598"/>
      <c r="X121" s="598"/>
      <c r="Y121" s="598"/>
      <c r="Z121" s="595"/>
    </row>
    <row r="122" spans="1:26" ht="15" customHeight="1">
      <c r="A122" s="604"/>
      <c r="B122" s="589"/>
      <c r="C122" s="587"/>
      <c r="D122" s="217" t="s">
        <v>66</v>
      </c>
      <c r="E122" s="344">
        <f>'ｼｰﾄNO.4（表-4）60頁'!S52</f>
        <v>7</v>
      </c>
      <c r="F122" s="591"/>
      <c r="G122" s="591"/>
      <c r="H122" s="218">
        <f>12.28697452/G121-0.05907844*G121+0.00051753*G121^2+2.69979197</f>
        <v>3.997683530107107</v>
      </c>
      <c r="I122" s="593"/>
      <c r="J122" s="345">
        <f t="shared" ref="J122" si="735">C121*E122*F121*H122/1000000*I121</f>
        <v>2.0752774741492011</v>
      </c>
      <c r="K122" s="218">
        <f t="shared" ref="K122" si="736">908.52069/G121-23.49889*G121+0.18396*G121^2+1364.81344</f>
        <v>1329.9967455959224</v>
      </c>
      <c r="L122" s="593"/>
      <c r="M122" s="345">
        <f t="shared" ref="M122" si="737">C121*E122*F121*K122/1000000*L121</f>
        <v>199.60270894687264</v>
      </c>
      <c r="N122" s="218">
        <f>9.45345681/G121-0.14325844*G121+0.00124097*G121^2+5.98054622</f>
        <v>6.3156214024367747</v>
      </c>
      <c r="O122" s="593"/>
      <c r="P122" s="345">
        <f t="shared" ref="P122" si="738">C121*E122*F121*N122/1000000*O121</f>
        <v>275.43227777819453</v>
      </c>
      <c r="Q122" s="218">
        <f>0.6037810576/G121-0.0052863845*G121+0.000423961*G121^2+0.3189943526</f>
        <v>0.3863911983611944</v>
      </c>
      <c r="R122" s="593"/>
      <c r="S122" s="345">
        <f t="shared" ref="S122" si="739">C121*E122*F121*Q122/1000000*R121</f>
        <v>9.6721314946331525</v>
      </c>
      <c r="T122" s="218">
        <f t="shared" ref="T122" si="740">0.2877659/G121-0.008903887*G121+0.000069093*G121^2+0.516185391</f>
        <v>0.49515496245918328</v>
      </c>
      <c r="U122" s="593"/>
      <c r="V122" s="345">
        <f t="shared" ref="V122" si="741">C121*E122*F121*T122*U121</f>
        <v>4112.717505788979</v>
      </c>
      <c r="W122" s="598"/>
      <c r="X122" s="598"/>
      <c r="Y122" s="598"/>
      <c r="Z122" s="595"/>
    </row>
    <row r="123" spans="1:26" ht="15" customHeight="1">
      <c r="A123" s="604"/>
      <c r="B123" s="588" t="s">
        <v>55</v>
      </c>
      <c r="C123" s="586">
        <f>'ｼｰﾄNO.3（表-3）59頁'!$F$30</f>
        <v>9</v>
      </c>
      <c r="D123" s="216" t="s">
        <v>65</v>
      </c>
      <c r="E123" s="342">
        <f>'ｼｰﾄNO.4（表-4）60頁'!S53</f>
        <v>47.5</v>
      </c>
      <c r="F123" s="590">
        <f>'ｼｰﾄNO.4（表-4）60頁'!O53/1000</f>
        <v>0.91</v>
      </c>
      <c r="G123" s="590">
        <f>'ｼｰﾄNO.4（表-4）60頁'!O53/1000/('ｼｰﾄNO.4（表-4）60頁'!P53/3600)</f>
        <v>8.1492537313432845</v>
      </c>
      <c r="H123" s="219">
        <f>-2.71095565/G123-0.09453616*G123+0.00089493*G123^2+3.15403637</f>
        <v>2.1104067617553492</v>
      </c>
      <c r="I123" s="592">
        <v>10000</v>
      </c>
      <c r="J123" s="343">
        <f t="shared" ref="J123" si="742">C123*E123*F123*H123/1000000*I123</f>
        <v>8.2100099049187492</v>
      </c>
      <c r="K123" s="219">
        <f t="shared" ref="K123" si="743">1501.20185/G123-2.40935*G123+0.02115*G123^2+174.47635</f>
        <v>340.45993796461755</v>
      </c>
      <c r="L123" s="592">
        <v>2891</v>
      </c>
      <c r="M123" s="343">
        <f t="shared" ref="M123" si="744">C123*E123*F123*K123/1000000*L123</f>
        <v>382.90551251708735</v>
      </c>
      <c r="N123" s="219">
        <f>-0.25063622/G123-0.00657231*G123+0.00005332*G123^2+0.29056757</f>
        <v>0.20979342071458354</v>
      </c>
      <c r="O123" s="592">
        <v>840100</v>
      </c>
      <c r="P123" s="343">
        <f t="shared" ref="P123" si="745">C123*E123*F123*N123/1000000*O123</f>
        <v>68.564665303081682</v>
      </c>
      <c r="Q123" s="219">
        <f>0.093055673/G123-0.0002682273*G123+0.00000218*G123^2+0.0173678037</f>
        <v>2.6745645488516576E-2</v>
      </c>
      <c r="R123" s="592">
        <v>482200</v>
      </c>
      <c r="S123" s="343">
        <f t="shared" ref="S123" si="746">C123*E123*F123*Q123/1000000*R123</f>
        <v>5.0171582677812516</v>
      </c>
      <c r="T123" s="219">
        <f t="shared" ref="T123" si="747">0.630901162/G123-0.001006579*G123+0.000008915*G123^2+0.0072170055</f>
        <v>7.7024460435041867E-2</v>
      </c>
      <c r="U123" s="592">
        <v>160</v>
      </c>
      <c r="V123" s="343">
        <f t="shared" ref="V123" si="748">C123*E123*F123*T123*U123</f>
        <v>4794.3105153187462</v>
      </c>
      <c r="W123" s="598"/>
      <c r="X123" s="598"/>
      <c r="Y123" s="598"/>
      <c r="Z123" s="595"/>
    </row>
    <row r="124" spans="1:26" ht="15" customHeight="1">
      <c r="A124" s="604"/>
      <c r="B124" s="589"/>
      <c r="C124" s="587"/>
      <c r="D124" s="217" t="s">
        <v>66</v>
      </c>
      <c r="E124" s="344">
        <f>'ｼｰﾄNO.4（表-4）60頁'!S54</f>
        <v>2.5</v>
      </c>
      <c r="F124" s="591"/>
      <c r="G124" s="591"/>
      <c r="H124" s="218">
        <f>12.28697452/G123-0.05907844*G123+0.00051753*G123^2+2.69979197</f>
        <v>3.7604584083524237</v>
      </c>
      <c r="I124" s="593"/>
      <c r="J124" s="345">
        <f t="shared" ref="J124" si="749">C123*E124*F123*H124/1000000*I123</f>
        <v>0.7699538591101589</v>
      </c>
      <c r="K124" s="218">
        <f t="shared" ref="K124" si="750">908.52069/G123-23.49889*G123+0.18396*G123^2+1364.81344</f>
        <v>1297.0170080805215</v>
      </c>
      <c r="L124" s="593"/>
      <c r="M124" s="345">
        <f t="shared" ref="M124" si="751">C123*E124*F123*K124/1000000*L123</f>
        <v>76.774619588137142</v>
      </c>
      <c r="N124" s="218">
        <f>9.45345681/G123-0.14325844*G123+0.00124097*G123^2+5.98054622</f>
        <v>6.0555496503414323</v>
      </c>
      <c r="O124" s="593"/>
      <c r="P124" s="345">
        <f t="shared" ref="P124" si="752">C123*E124*F123*N124/1000000*O123</f>
        <v>104.16179717413137</v>
      </c>
      <c r="Q124" s="218">
        <f>0.6037810576/G123-0.0052863845*G123+0.000423961*G123^2+0.3189943526</f>
        <v>0.37816000616810774</v>
      </c>
      <c r="R124" s="593"/>
      <c r="S124" s="345">
        <f t="shared" ref="S124" si="753">C123*E124*F123*Q124/1000000*R123</f>
        <v>3.7335907580980057</v>
      </c>
      <c r="T124" s="218">
        <f t="shared" ref="T124" si="754">0.2877659/G123-0.008903887*G123+0.000069093*G123^2+0.516185391</f>
        <v>0.48352577879702607</v>
      </c>
      <c r="U124" s="593"/>
      <c r="V124" s="345">
        <f t="shared" ref="V124" si="755">C123*E124*F123*T124*U123</f>
        <v>1584.0304513390574</v>
      </c>
      <c r="W124" s="598"/>
      <c r="X124" s="598"/>
      <c r="Y124" s="598"/>
      <c r="Z124" s="595"/>
    </row>
    <row r="125" spans="1:26" ht="15" customHeight="1">
      <c r="A125" s="604"/>
      <c r="B125" s="588" t="s">
        <v>56</v>
      </c>
      <c r="C125" s="586">
        <f>'ｼｰﾄNO.3（表-3）59頁'!$F$30</f>
        <v>9</v>
      </c>
      <c r="D125" s="216" t="s">
        <v>65</v>
      </c>
      <c r="E125" s="342">
        <f>'ｼｰﾄNO.4（表-4）60頁'!S55</f>
        <v>743.84999999999991</v>
      </c>
      <c r="F125" s="590">
        <f>'ｼｰﾄNO.4（表-4）60頁'!O55/1000</f>
        <v>0.61699999999999999</v>
      </c>
      <c r="G125" s="590">
        <f>'ｼｰﾄNO.4（表-4）60頁'!O55/1000/('ｼｰﾄNO.4（表-4）60頁'!P55/3600)</f>
        <v>5.9549597855227878</v>
      </c>
      <c r="H125" s="219">
        <f>-2.71095565/G125-0.09453616*G125+0.00089493*G125^2+3.15403637</f>
        <v>2.1675696225475889</v>
      </c>
      <c r="I125" s="592">
        <v>10000</v>
      </c>
      <c r="J125" s="343">
        <f t="shared" ref="J125" si="756">C125*E125*F125*H125/1000000*I125</f>
        <v>89.533610237039284</v>
      </c>
      <c r="K125" s="219">
        <f t="shared" ref="K125" si="757">1501.20185/G125-2.40935*G125+0.02115*G125^2+174.47635</f>
        <v>412.97147250100306</v>
      </c>
      <c r="L125" s="592">
        <v>2891</v>
      </c>
      <c r="M125" s="343">
        <f t="shared" ref="M125" si="758">C125*E125*F125*K125/1000000*L125</f>
        <v>4931.5243826223505</v>
      </c>
      <c r="N125" s="219">
        <f>-0.25063622/G125-0.00657231*G125+0.00005332*G125^2+0.29056757</f>
        <v>0.21123188758110625</v>
      </c>
      <c r="O125" s="592">
        <v>840100</v>
      </c>
      <c r="P125" s="343">
        <f t="shared" ref="P125" si="759">C125*E125*F125*N125/1000000*O125</f>
        <v>732.99920812808557</v>
      </c>
      <c r="Q125" s="219">
        <f>0.093055673/G125-0.0002682273*G125+0.00000218*G125^2+0.0173678037</f>
        <v>3.1474410026706479E-2</v>
      </c>
      <c r="R125" s="592">
        <v>482200</v>
      </c>
      <c r="S125" s="343">
        <f t="shared" ref="S125" si="760">C125*E125*F125*Q125/1000000*R125</f>
        <v>62.689938684642016</v>
      </c>
      <c r="T125" s="219">
        <f t="shared" ref="T125" si="761">0.630901162/G125-0.001006579*G125+0.000008915*G125^2+0.0072170055</f>
        <v>0.10748450268644491</v>
      </c>
      <c r="U125" s="592">
        <v>160</v>
      </c>
      <c r="V125" s="343">
        <f t="shared" ref="V125" si="762">C125*E125*F125*T125*U125</f>
        <v>71036.061549816281</v>
      </c>
      <c r="W125" s="598"/>
      <c r="X125" s="598"/>
      <c r="Y125" s="598"/>
      <c r="Z125" s="595"/>
    </row>
    <row r="126" spans="1:26" ht="15" customHeight="1">
      <c r="A126" s="605"/>
      <c r="B126" s="589"/>
      <c r="C126" s="587"/>
      <c r="D126" s="217" t="s">
        <v>66</v>
      </c>
      <c r="E126" s="344">
        <f>'ｼｰﾄNO.4（表-4）60頁'!S56</f>
        <v>39.150000000000006</v>
      </c>
      <c r="F126" s="591"/>
      <c r="G126" s="591"/>
      <c r="H126" s="218">
        <f>12.28697452/G125-0.05907844*G125+0.00051753*G125^2+2.69979197</f>
        <v>4.4296524489040934</v>
      </c>
      <c r="I126" s="593"/>
      <c r="J126" s="345">
        <f t="shared" ref="J126" si="763">C125*E126*F125*H126/1000000*I125</f>
        <v>9.6300622090912764</v>
      </c>
      <c r="K126" s="218">
        <f t="shared" ref="K126" si="764">908.52069/G125-23.49889*G125+0.18396*G125^2+1364.81344</f>
        <v>1383.9673789467477</v>
      </c>
      <c r="L126" s="593"/>
      <c r="M126" s="345">
        <f t="shared" ref="M126" si="765">C125*E126*F125*K126/1000000*L125</f>
        <v>869.82800310463483</v>
      </c>
      <c r="N126" s="218">
        <f>9.45345681/G125-0.14325844*G125+0.00124097*G125^2+5.98054622</f>
        <v>6.7589476579872265</v>
      </c>
      <c r="O126" s="593"/>
      <c r="P126" s="345">
        <f t="shared" ref="P126" si="766">C125*E126*F125*N126/1000000*O125</f>
        <v>1234.4386411234836</v>
      </c>
      <c r="Q126" s="218">
        <f>0.6037810576/G125-0.0052863845*G125+0.000423961*G125^2+0.3189943526</f>
        <v>0.40393974852719866</v>
      </c>
      <c r="R126" s="593"/>
      <c r="S126" s="345">
        <f t="shared" ref="S126" si="767">C125*E126*F125*Q126/1000000*R125</f>
        <v>42.345107202248492</v>
      </c>
      <c r="T126" s="218">
        <f t="shared" ref="T126" si="768">0.2877659/G125-0.008903887*G125+0.000069093*G125^2+0.516185391</f>
        <v>0.51393698181440695</v>
      </c>
      <c r="U126" s="593"/>
      <c r="V126" s="345">
        <f t="shared" ref="V126" si="769">C125*E126*F125*T126*U125</f>
        <v>17876.779863936477</v>
      </c>
      <c r="W126" s="599"/>
      <c r="X126" s="599"/>
      <c r="Y126" s="599"/>
      <c r="Z126" s="596"/>
    </row>
  </sheetData>
  <mergeCells count="569">
    <mergeCell ref="A3:A5"/>
    <mergeCell ref="B3:B5"/>
    <mergeCell ref="D6:E6"/>
    <mergeCell ref="W7:W30"/>
    <mergeCell ref="W31:W54"/>
    <mergeCell ref="W55:W78"/>
    <mergeCell ref="W79:W102"/>
    <mergeCell ref="W103:W126"/>
    <mergeCell ref="I123:I124"/>
    <mergeCell ref="L123:L124"/>
    <mergeCell ref="O123:O124"/>
    <mergeCell ref="R123:R124"/>
    <mergeCell ref="U123:U124"/>
    <mergeCell ref="I125:I126"/>
    <mergeCell ref="L125:L126"/>
    <mergeCell ref="O125:O126"/>
    <mergeCell ref="R125:R126"/>
    <mergeCell ref="U125:U126"/>
    <mergeCell ref="I119:I120"/>
    <mergeCell ref="L119:L120"/>
    <mergeCell ref="O119:O120"/>
    <mergeCell ref="R119:R120"/>
    <mergeCell ref="U119:U120"/>
    <mergeCell ref="I121:I122"/>
    <mergeCell ref="L121:L122"/>
    <mergeCell ref="O121:O122"/>
    <mergeCell ref="R121:R122"/>
    <mergeCell ref="U121:U122"/>
    <mergeCell ref="I115:I116"/>
    <mergeCell ref="L115:L116"/>
    <mergeCell ref="O115:O116"/>
    <mergeCell ref="R115:R116"/>
    <mergeCell ref="U115:U116"/>
    <mergeCell ref="I117:I118"/>
    <mergeCell ref="L117:L118"/>
    <mergeCell ref="O117:O118"/>
    <mergeCell ref="R117:R118"/>
    <mergeCell ref="U117:U118"/>
    <mergeCell ref="I111:I112"/>
    <mergeCell ref="L111:L112"/>
    <mergeCell ref="O111:O112"/>
    <mergeCell ref="R111:R112"/>
    <mergeCell ref="U111:U112"/>
    <mergeCell ref="I113:I114"/>
    <mergeCell ref="L113:L114"/>
    <mergeCell ref="O113:O114"/>
    <mergeCell ref="R113:R114"/>
    <mergeCell ref="U113:U114"/>
    <mergeCell ref="I107:I108"/>
    <mergeCell ref="L107:L108"/>
    <mergeCell ref="O107:O108"/>
    <mergeCell ref="R107:R108"/>
    <mergeCell ref="U107:U108"/>
    <mergeCell ref="I109:I110"/>
    <mergeCell ref="L109:L110"/>
    <mergeCell ref="O109:O110"/>
    <mergeCell ref="R109:R110"/>
    <mergeCell ref="U109:U110"/>
    <mergeCell ref="I103:I104"/>
    <mergeCell ref="L103:L104"/>
    <mergeCell ref="O103:O104"/>
    <mergeCell ref="R103:R104"/>
    <mergeCell ref="U103:U104"/>
    <mergeCell ref="I105:I106"/>
    <mergeCell ref="L105:L106"/>
    <mergeCell ref="O105:O106"/>
    <mergeCell ref="R105:R106"/>
    <mergeCell ref="U105:U106"/>
    <mergeCell ref="I99:I100"/>
    <mergeCell ref="L99:L100"/>
    <mergeCell ref="O99:O100"/>
    <mergeCell ref="R99:R100"/>
    <mergeCell ref="U99:U100"/>
    <mergeCell ref="I101:I102"/>
    <mergeCell ref="L101:L102"/>
    <mergeCell ref="O101:O102"/>
    <mergeCell ref="R101:R102"/>
    <mergeCell ref="U101:U102"/>
    <mergeCell ref="I95:I96"/>
    <mergeCell ref="L95:L96"/>
    <mergeCell ref="O95:O96"/>
    <mergeCell ref="R95:R96"/>
    <mergeCell ref="U95:U96"/>
    <mergeCell ref="I97:I98"/>
    <mergeCell ref="L97:L98"/>
    <mergeCell ref="O97:O98"/>
    <mergeCell ref="R97:R98"/>
    <mergeCell ref="U97:U98"/>
    <mergeCell ref="I91:I92"/>
    <mergeCell ref="L91:L92"/>
    <mergeCell ref="O91:O92"/>
    <mergeCell ref="R91:R92"/>
    <mergeCell ref="U91:U92"/>
    <mergeCell ref="I93:I94"/>
    <mergeCell ref="L93:L94"/>
    <mergeCell ref="O93:O94"/>
    <mergeCell ref="R93:R94"/>
    <mergeCell ref="U93:U94"/>
    <mergeCell ref="I87:I88"/>
    <mergeCell ref="L87:L88"/>
    <mergeCell ref="O87:O88"/>
    <mergeCell ref="R87:R88"/>
    <mergeCell ref="U87:U88"/>
    <mergeCell ref="I89:I90"/>
    <mergeCell ref="L89:L90"/>
    <mergeCell ref="O89:O90"/>
    <mergeCell ref="R89:R90"/>
    <mergeCell ref="U89:U90"/>
    <mergeCell ref="I83:I84"/>
    <mergeCell ref="L83:L84"/>
    <mergeCell ref="O83:O84"/>
    <mergeCell ref="R83:R84"/>
    <mergeCell ref="U83:U84"/>
    <mergeCell ref="I85:I86"/>
    <mergeCell ref="L85:L86"/>
    <mergeCell ref="O85:O86"/>
    <mergeCell ref="R85:R86"/>
    <mergeCell ref="U85:U86"/>
    <mergeCell ref="I79:I80"/>
    <mergeCell ref="L79:L80"/>
    <mergeCell ref="O79:O80"/>
    <mergeCell ref="R79:R80"/>
    <mergeCell ref="U79:U80"/>
    <mergeCell ref="I81:I82"/>
    <mergeCell ref="L81:L82"/>
    <mergeCell ref="O81:O82"/>
    <mergeCell ref="R81:R82"/>
    <mergeCell ref="U81:U82"/>
    <mergeCell ref="F121:F122"/>
    <mergeCell ref="G121:G122"/>
    <mergeCell ref="F123:F124"/>
    <mergeCell ref="G123:G124"/>
    <mergeCell ref="F125:F126"/>
    <mergeCell ref="G125:G126"/>
    <mergeCell ref="F115:F116"/>
    <mergeCell ref="G115:G116"/>
    <mergeCell ref="F117:F118"/>
    <mergeCell ref="G117:G118"/>
    <mergeCell ref="F119:F120"/>
    <mergeCell ref="G119:G120"/>
    <mergeCell ref="F109:F110"/>
    <mergeCell ref="G109:G110"/>
    <mergeCell ref="F111:F112"/>
    <mergeCell ref="G111:G112"/>
    <mergeCell ref="F113:F114"/>
    <mergeCell ref="G113:G114"/>
    <mergeCell ref="F103:F104"/>
    <mergeCell ref="G103:G104"/>
    <mergeCell ref="F105:F106"/>
    <mergeCell ref="G105:G106"/>
    <mergeCell ref="F107:F108"/>
    <mergeCell ref="G107:G108"/>
    <mergeCell ref="F97:F98"/>
    <mergeCell ref="G97:G98"/>
    <mergeCell ref="F99:F100"/>
    <mergeCell ref="G99:G100"/>
    <mergeCell ref="F101:F102"/>
    <mergeCell ref="G101:G102"/>
    <mergeCell ref="F91:F92"/>
    <mergeCell ref="G91:G92"/>
    <mergeCell ref="F93:F94"/>
    <mergeCell ref="G93:G94"/>
    <mergeCell ref="F95:F96"/>
    <mergeCell ref="G95:G96"/>
    <mergeCell ref="F85:F86"/>
    <mergeCell ref="G85:G86"/>
    <mergeCell ref="F87:F88"/>
    <mergeCell ref="G87:G88"/>
    <mergeCell ref="F89:F90"/>
    <mergeCell ref="G89:G90"/>
    <mergeCell ref="F79:F80"/>
    <mergeCell ref="G79:G80"/>
    <mergeCell ref="F81:F82"/>
    <mergeCell ref="G81:G82"/>
    <mergeCell ref="F83:F84"/>
    <mergeCell ref="G83:G84"/>
    <mergeCell ref="G59:G60"/>
    <mergeCell ref="F73:F74"/>
    <mergeCell ref="G73:G74"/>
    <mergeCell ref="F75:F76"/>
    <mergeCell ref="G75:G76"/>
    <mergeCell ref="F77:F78"/>
    <mergeCell ref="G77:G78"/>
    <mergeCell ref="F67:F68"/>
    <mergeCell ref="G67:G68"/>
    <mergeCell ref="F69:F70"/>
    <mergeCell ref="G69:G70"/>
    <mergeCell ref="F71:F72"/>
    <mergeCell ref="G71:G72"/>
    <mergeCell ref="F31:F32"/>
    <mergeCell ref="G31:G32"/>
    <mergeCell ref="F33:F34"/>
    <mergeCell ref="G33:G34"/>
    <mergeCell ref="F35:F36"/>
    <mergeCell ref="G35:G36"/>
    <mergeCell ref="F49:F50"/>
    <mergeCell ref="G49:G50"/>
    <mergeCell ref="F51:F52"/>
    <mergeCell ref="G51:G52"/>
    <mergeCell ref="F43:F44"/>
    <mergeCell ref="G43:G44"/>
    <mergeCell ref="F45:F46"/>
    <mergeCell ref="G45:G46"/>
    <mergeCell ref="F47:F48"/>
    <mergeCell ref="G47:G48"/>
    <mergeCell ref="I77:I78"/>
    <mergeCell ref="L77:L78"/>
    <mergeCell ref="O77:O78"/>
    <mergeCell ref="R77:R78"/>
    <mergeCell ref="U77:U78"/>
    <mergeCell ref="F37:F38"/>
    <mergeCell ref="G37:G38"/>
    <mergeCell ref="F39:F40"/>
    <mergeCell ref="G39:G40"/>
    <mergeCell ref="F41:F42"/>
    <mergeCell ref="G41:G42"/>
    <mergeCell ref="F53:F54"/>
    <mergeCell ref="G53:G54"/>
    <mergeCell ref="F61:F62"/>
    <mergeCell ref="G61:G62"/>
    <mergeCell ref="F63:F64"/>
    <mergeCell ref="G63:G64"/>
    <mergeCell ref="F65:F66"/>
    <mergeCell ref="G65:G66"/>
    <mergeCell ref="F55:F56"/>
    <mergeCell ref="G55:G56"/>
    <mergeCell ref="F57:F58"/>
    <mergeCell ref="G57:G58"/>
    <mergeCell ref="F59:F60"/>
    <mergeCell ref="I73:I74"/>
    <mergeCell ref="L73:L74"/>
    <mergeCell ref="O73:O74"/>
    <mergeCell ref="R73:R74"/>
    <mergeCell ref="U73:U74"/>
    <mergeCell ref="I75:I76"/>
    <mergeCell ref="L75:L76"/>
    <mergeCell ref="O75:O76"/>
    <mergeCell ref="R75:R76"/>
    <mergeCell ref="U75:U76"/>
    <mergeCell ref="I69:I70"/>
    <mergeCell ref="L69:L70"/>
    <mergeCell ref="O69:O70"/>
    <mergeCell ref="R69:R70"/>
    <mergeCell ref="U69:U70"/>
    <mergeCell ref="I71:I72"/>
    <mergeCell ref="L71:L72"/>
    <mergeCell ref="O71:O72"/>
    <mergeCell ref="R71:R72"/>
    <mergeCell ref="U71:U72"/>
    <mergeCell ref="I65:I66"/>
    <mergeCell ref="L65:L66"/>
    <mergeCell ref="O65:O66"/>
    <mergeCell ref="R65:R66"/>
    <mergeCell ref="U65:U66"/>
    <mergeCell ref="I67:I68"/>
    <mergeCell ref="L67:L68"/>
    <mergeCell ref="O67:O68"/>
    <mergeCell ref="R67:R68"/>
    <mergeCell ref="U67:U68"/>
    <mergeCell ref="I61:I62"/>
    <mergeCell ref="L61:L62"/>
    <mergeCell ref="O61:O62"/>
    <mergeCell ref="R61:R62"/>
    <mergeCell ref="U61:U62"/>
    <mergeCell ref="I63:I64"/>
    <mergeCell ref="L63:L64"/>
    <mergeCell ref="O63:O64"/>
    <mergeCell ref="R63:R64"/>
    <mergeCell ref="U63:U64"/>
    <mergeCell ref="I57:I58"/>
    <mergeCell ref="L57:L58"/>
    <mergeCell ref="O57:O58"/>
    <mergeCell ref="R57:R58"/>
    <mergeCell ref="U57:U58"/>
    <mergeCell ref="I59:I60"/>
    <mergeCell ref="L59:L60"/>
    <mergeCell ref="O59:O60"/>
    <mergeCell ref="R59:R60"/>
    <mergeCell ref="U59:U60"/>
    <mergeCell ref="I53:I54"/>
    <mergeCell ref="L53:L54"/>
    <mergeCell ref="O53:O54"/>
    <mergeCell ref="R53:R54"/>
    <mergeCell ref="U53:U54"/>
    <mergeCell ref="I55:I56"/>
    <mergeCell ref="L55:L56"/>
    <mergeCell ref="O55:O56"/>
    <mergeCell ref="R55:R56"/>
    <mergeCell ref="U55:U56"/>
    <mergeCell ref="I49:I50"/>
    <mergeCell ref="L49:L50"/>
    <mergeCell ref="O49:O50"/>
    <mergeCell ref="R49:R50"/>
    <mergeCell ref="U49:U50"/>
    <mergeCell ref="I51:I52"/>
    <mergeCell ref="L51:L52"/>
    <mergeCell ref="O51:O52"/>
    <mergeCell ref="R51:R52"/>
    <mergeCell ref="U51:U52"/>
    <mergeCell ref="I45:I46"/>
    <mergeCell ref="L45:L46"/>
    <mergeCell ref="O45:O46"/>
    <mergeCell ref="R45:R46"/>
    <mergeCell ref="U45:U46"/>
    <mergeCell ref="I47:I48"/>
    <mergeCell ref="L47:L48"/>
    <mergeCell ref="O47:O48"/>
    <mergeCell ref="R47:R48"/>
    <mergeCell ref="U47:U48"/>
    <mergeCell ref="I41:I42"/>
    <mergeCell ref="L41:L42"/>
    <mergeCell ref="O41:O42"/>
    <mergeCell ref="R41:R42"/>
    <mergeCell ref="U41:U42"/>
    <mergeCell ref="I43:I44"/>
    <mergeCell ref="L43:L44"/>
    <mergeCell ref="O43:O44"/>
    <mergeCell ref="R43:R44"/>
    <mergeCell ref="U43:U44"/>
    <mergeCell ref="I37:I38"/>
    <mergeCell ref="L37:L38"/>
    <mergeCell ref="O37:O38"/>
    <mergeCell ref="R37:R38"/>
    <mergeCell ref="U37:U38"/>
    <mergeCell ref="I39:I40"/>
    <mergeCell ref="L39:L40"/>
    <mergeCell ref="O39:O40"/>
    <mergeCell ref="R39:R40"/>
    <mergeCell ref="U39:U40"/>
    <mergeCell ref="I33:I34"/>
    <mergeCell ref="L33:L34"/>
    <mergeCell ref="O33:O34"/>
    <mergeCell ref="R33:R34"/>
    <mergeCell ref="U33:U34"/>
    <mergeCell ref="I35:I36"/>
    <mergeCell ref="L35:L36"/>
    <mergeCell ref="O35:O36"/>
    <mergeCell ref="R35:R36"/>
    <mergeCell ref="U35:U36"/>
    <mergeCell ref="R27:R28"/>
    <mergeCell ref="U27:U28"/>
    <mergeCell ref="I29:I30"/>
    <mergeCell ref="L29:L30"/>
    <mergeCell ref="O29:O30"/>
    <mergeCell ref="R29:R30"/>
    <mergeCell ref="U29:U30"/>
    <mergeCell ref="I31:I32"/>
    <mergeCell ref="L31:L32"/>
    <mergeCell ref="O31:O32"/>
    <mergeCell ref="R31:R32"/>
    <mergeCell ref="U31:U32"/>
    <mergeCell ref="R21:R22"/>
    <mergeCell ref="U21:U22"/>
    <mergeCell ref="I23:I24"/>
    <mergeCell ref="L23:L24"/>
    <mergeCell ref="O23:O24"/>
    <mergeCell ref="R23:R24"/>
    <mergeCell ref="U23:U24"/>
    <mergeCell ref="I25:I26"/>
    <mergeCell ref="L25:L26"/>
    <mergeCell ref="O25:O26"/>
    <mergeCell ref="R25:R26"/>
    <mergeCell ref="U25:U26"/>
    <mergeCell ref="R15:R16"/>
    <mergeCell ref="U15:U16"/>
    <mergeCell ref="I17:I18"/>
    <mergeCell ref="L17:L18"/>
    <mergeCell ref="O17:O18"/>
    <mergeCell ref="R17:R18"/>
    <mergeCell ref="U17:U18"/>
    <mergeCell ref="I19:I20"/>
    <mergeCell ref="L19:L20"/>
    <mergeCell ref="O19:O20"/>
    <mergeCell ref="R19:R20"/>
    <mergeCell ref="U19:U20"/>
    <mergeCell ref="R11:R12"/>
    <mergeCell ref="U11:U12"/>
    <mergeCell ref="I13:I14"/>
    <mergeCell ref="L13:L14"/>
    <mergeCell ref="O13:O14"/>
    <mergeCell ref="R13:R14"/>
    <mergeCell ref="U13:U14"/>
    <mergeCell ref="R7:R8"/>
    <mergeCell ref="U7:U8"/>
    <mergeCell ref="I9:I10"/>
    <mergeCell ref="L9:L10"/>
    <mergeCell ref="O9:O10"/>
    <mergeCell ref="R9:R10"/>
    <mergeCell ref="U9:U10"/>
    <mergeCell ref="F11:F12"/>
    <mergeCell ref="F13:F14"/>
    <mergeCell ref="F15:F16"/>
    <mergeCell ref="G23:G24"/>
    <mergeCell ref="G25:G26"/>
    <mergeCell ref="G27:G28"/>
    <mergeCell ref="G29:G30"/>
    <mergeCell ref="L7:L8"/>
    <mergeCell ref="O7:O8"/>
    <mergeCell ref="I11:I12"/>
    <mergeCell ref="L11:L12"/>
    <mergeCell ref="O11:O12"/>
    <mergeCell ref="I15:I16"/>
    <mergeCell ref="L15:L16"/>
    <mergeCell ref="O15:O16"/>
    <mergeCell ref="I21:I22"/>
    <mergeCell ref="L21:L22"/>
    <mergeCell ref="O21:O22"/>
    <mergeCell ref="I27:I28"/>
    <mergeCell ref="L27:L28"/>
    <mergeCell ref="O27:O28"/>
    <mergeCell ref="B121:B122"/>
    <mergeCell ref="C121:C122"/>
    <mergeCell ref="B115:B116"/>
    <mergeCell ref="C115:C116"/>
    <mergeCell ref="B117:B118"/>
    <mergeCell ref="C117:C118"/>
    <mergeCell ref="F29:F30"/>
    <mergeCell ref="I7:I8"/>
    <mergeCell ref="G9:G10"/>
    <mergeCell ref="G11:G12"/>
    <mergeCell ref="G13:G14"/>
    <mergeCell ref="G15:G16"/>
    <mergeCell ref="G17:G18"/>
    <mergeCell ref="G19:G20"/>
    <mergeCell ref="G21:G22"/>
    <mergeCell ref="F17:F18"/>
    <mergeCell ref="F19:F20"/>
    <mergeCell ref="F21:F22"/>
    <mergeCell ref="F23:F24"/>
    <mergeCell ref="F25:F26"/>
    <mergeCell ref="F27:F28"/>
    <mergeCell ref="G7:G8"/>
    <mergeCell ref="F7:F8"/>
    <mergeCell ref="F9:F10"/>
    <mergeCell ref="C97:C98"/>
    <mergeCell ref="B91:B92"/>
    <mergeCell ref="C91:C92"/>
    <mergeCell ref="B93:B94"/>
    <mergeCell ref="C93:C94"/>
    <mergeCell ref="A103:A126"/>
    <mergeCell ref="B103:B104"/>
    <mergeCell ref="C103:C104"/>
    <mergeCell ref="B105:B106"/>
    <mergeCell ref="C105:C106"/>
    <mergeCell ref="B111:B112"/>
    <mergeCell ref="C111:C112"/>
    <mergeCell ref="B113:B114"/>
    <mergeCell ref="C113:C114"/>
    <mergeCell ref="B107:B108"/>
    <mergeCell ref="C107:C108"/>
    <mergeCell ref="B109:B110"/>
    <mergeCell ref="C109:C110"/>
    <mergeCell ref="B123:B124"/>
    <mergeCell ref="C123:C124"/>
    <mergeCell ref="B125:B126"/>
    <mergeCell ref="C125:C126"/>
    <mergeCell ref="B119:B120"/>
    <mergeCell ref="C119:C120"/>
    <mergeCell ref="A79:A102"/>
    <mergeCell ref="B79:B80"/>
    <mergeCell ref="C79:C80"/>
    <mergeCell ref="B81:B82"/>
    <mergeCell ref="C81:C82"/>
    <mergeCell ref="B75:B76"/>
    <mergeCell ref="C75:C76"/>
    <mergeCell ref="B77:B78"/>
    <mergeCell ref="C77:C78"/>
    <mergeCell ref="B87:B88"/>
    <mergeCell ref="C87:C88"/>
    <mergeCell ref="B89:B90"/>
    <mergeCell ref="C89:C90"/>
    <mergeCell ref="B83:B84"/>
    <mergeCell ref="C83:C84"/>
    <mergeCell ref="B85:B86"/>
    <mergeCell ref="C85:C86"/>
    <mergeCell ref="B99:B100"/>
    <mergeCell ref="C99:C100"/>
    <mergeCell ref="B101:B102"/>
    <mergeCell ref="C101:C102"/>
    <mergeCell ref="B95:B96"/>
    <mergeCell ref="C95:C96"/>
    <mergeCell ref="B97:B98"/>
    <mergeCell ref="B59:B60"/>
    <mergeCell ref="C59:C60"/>
    <mergeCell ref="B61:B62"/>
    <mergeCell ref="C61:C62"/>
    <mergeCell ref="A55:A78"/>
    <mergeCell ref="B55:B56"/>
    <mergeCell ref="C55:C56"/>
    <mergeCell ref="B57:B58"/>
    <mergeCell ref="C57:C58"/>
    <mergeCell ref="B71:B72"/>
    <mergeCell ref="C71:C72"/>
    <mergeCell ref="B73:B74"/>
    <mergeCell ref="C73:C74"/>
    <mergeCell ref="B67:B68"/>
    <mergeCell ref="C67:C68"/>
    <mergeCell ref="B69:B70"/>
    <mergeCell ref="C69:C70"/>
    <mergeCell ref="B63:B64"/>
    <mergeCell ref="C63:C64"/>
    <mergeCell ref="B65:B66"/>
    <mergeCell ref="C65:C66"/>
    <mergeCell ref="C41:C42"/>
    <mergeCell ref="B35:B36"/>
    <mergeCell ref="C35:C36"/>
    <mergeCell ref="B37:B38"/>
    <mergeCell ref="C37:C38"/>
    <mergeCell ref="B51:B52"/>
    <mergeCell ref="C51:C52"/>
    <mergeCell ref="B53:B54"/>
    <mergeCell ref="C53:C54"/>
    <mergeCell ref="B47:B48"/>
    <mergeCell ref="C47:C48"/>
    <mergeCell ref="B49:B50"/>
    <mergeCell ref="C49:C50"/>
    <mergeCell ref="B43:B44"/>
    <mergeCell ref="C43:C44"/>
    <mergeCell ref="B45:B46"/>
    <mergeCell ref="C45:C46"/>
    <mergeCell ref="B41:B42"/>
    <mergeCell ref="D3:E3"/>
    <mergeCell ref="D4:E4"/>
    <mergeCell ref="D5:E5"/>
    <mergeCell ref="A7:A30"/>
    <mergeCell ref="B7:B8"/>
    <mergeCell ref="C7:C8"/>
    <mergeCell ref="B9:B10"/>
    <mergeCell ref="C9:C10"/>
    <mergeCell ref="B23:B24"/>
    <mergeCell ref="C23:C24"/>
    <mergeCell ref="B25:B26"/>
    <mergeCell ref="C25:C26"/>
    <mergeCell ref="B19:B20"/>
    <mergeCell ref="C19:C20"/>
    <mergeCell ref="B21:B22"/>
    <mergeCell ref="C21:C22"/>
    <mergeCell ref="B15:B16"/>
    <mergeCell ref="C15:C16"/>
    <mergeCell ref="B17:B18"/>
    <mergeCell ref="C17:C18"/>
    <mergeCell ref="B27:B28"/>
    <mergeCell ref="C27:C28"/>
    <mergeCell ref="B29:B30"/>
    <mergeCell ref="C29:C30"/>
    <mergeCell ref="Z3:Z6"/>
    <mergeCell ref="A6:B6"/>
    <mergeCell ref="Z7:Z126"/>
    <mergeCell ref="X7:X30"/>
    <mergeCell ref="X31:X54"/>
    <mergeCell ref="X55:X78"/>
    <mergeCell ref="X79:X102"/>
    <mergeCell ref="X103:X126"/>
    <mergeCell ref="Y7:Y30"/>
    <mergeCell ref="Y31:Y54"/>
    <mergeCell ref="Y55:Y78"/>
    <mergeCell ref="Y79:Y102"/>
    <mergeCell ref="Y103:Y126"/>
    <mergeCell ref="B11:B12"/>
    <mergeCell ref="C11:C12"/>
    <mergeCell ref="B13:B14"/>
    <mergeCell ref="C13:C14"/>
    <mergeCell ref="A31:A54"/>
    <mergeCell ref="B31:B32"/>
    <mergeCell ref="C31:C32"/>
    <mergeCell ref="B33:B34"/>
    <mergeCell ref="C33:C34"/>
    <mergeCell ref="B39:B40"/>
    <mergeCell ref="C39:C4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8" scale="40" orientation="landscape" r:id="rId1"/>
  <ignoredErrors>
    <ignoredError sqref="I8:M8 I7:M7 P7 S7:V7 H127:V148 I9:M126 P11:P126 S9:V126 O8:P8 R8:V8 P9:P10 H8:H125 N8:N125 Q8:Q1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Normal="100" workbookViewId="0">
      <selection activeCell="I1" sqref="I1"/>
    </sheetView>
  </sheetViews>
  <sheetFormatPr defaultColWidth="9" defaultRowHeight="13.5"/>
  <cols>
    <col min="1" max="1" width="8" style="75" customWidth="1"/>
    <col min="2" max="2" width="17" style="75" customWidth="1"/>
    <col min="3" max="3" width="7.5" style="75" customWidth="1"/>
    <col min="4" max="6" width="11.5" style="75" customWidth="1"/>
    <col min="7" max="7" width="11.75" style="75" customWidth="1"/>
    <col min="8" max="8" width="19.625" style="75" customWidth="1"/>
    <col min="9" max="16384" width="9" style="75"/>
  </cols>
  <sheetData>
    <row r="1" spans="1:9" ht="15.6" customHeight="1">
      <c r="A1" s="352" t="s">
        <v>628</v>
      </c>
      <c r="H1" s="196"/>
    </row>
    <row r="2" spans="1:9" ht="15.6" customHeight="1">
      <c r="A2" s="67"/>
      <c r="B2" s="220"/>
      <c r="C2" s="67"/>
      <c r="D2" s="67"/>
      <c r="E2" s="67"/>
      <c r="F2" s="67"/>
      <c r="G2" s="67"/>
      <c r="H2" s="67"/>
      <c r="I2" s="81"/>
    </row>
    <row r="3" spans="1:9" s="82" customFormat="1" ht="31.9" customHeight="1">
      <c r="A3" s="632" t="s">
        <v>627</v>
      </c>
      <c r="B3" s="631" t="s">
        <v>521</v>
      </c>
      <c r="C3" s="235" t="s">
        <v>122</v>
      </c>
      <c r="D3" s="235" t="s">
        <v>121</v>
      </c>
      <c r="E3" s="235" t="s">
        <v>486</v>
      </c>
      <c r="F3" s="235" t="s">
        <v>331</v>
      </c>
      <c r="G3" s="235" t="s">
        <v>195</v>
      </c>
      <c r="H3" s="212" t="s">
        <v>124</v>
      </c>
    </row>
    <row r="4" spans="1:9" s="82" customFormat="1" ht="24" customHeight="1">
      <c r="A4" s="632"/>
      <c r="B4" s="631"/>
      <c r="C4" s="244" t="s">
        <v>108</v>
      </c>
      <c r="D4" s="244" t="s">
        <v>564</v>
      </c>
      <c r="E4" s="236" t="s">
        <v>61</v>
      </c>
      <c r="F4" s="244" t="s">
        <v>74</v>
      </c>
      <c r="G4" s="236" t="s">
        <v>196</v>
      </c>
      <c r="H4" s="244" t="s">
        <v>638</v>
      </c>
    </row>
    <row r="5" spans="1:9" s="82" customFormat="1" ht="23.45" customHeight="1">
      <c r="A5" s="632"/>
      <c r="B5" s="631"/>
      <c r="C5" s="246" t="s">
        <v>57</v>
      </c>
      <c r="D5" s="246" t="s">
        <v>60</v>
      </c>
      <c r="E5" s="239" t="s">
        <v>62</v>
      </c>
      <c r="F5" s="246" t="s">
        <v>70</v>
      </c>
      <c r="G5" s="239" t="s">
        <v>75</v>
      </c>
      <c r="H5" s="239" t="s">
        <v>720</v>
      </c>
    </row>
    <row r="6" spans="1:9" s="82" customFormat="1" ht="31.5" customHeight="1">
      <c r="A6" s="622" t="s">
        <v>311</v>
      </c>
      <c r="B6" s="623"/>
      <c r="C6" s="239" t="s">
        <v>552</v>
      </c>
      <c r="D6" s="239" t="s">
        <v>552</v>
      </c>
      <c r="E6" s="239" t="s">
        <v>629</v>
      </c>
      <c r="F6" s="239" t="s">
        <v>630</v>
      </c>
      <c r="G6" s="239" t="s">
        <v>432</v>
      </c>
      <c r="H6" s="239" t="s">
        <v>854</v>
      </c>
    </row>
    <row r="7" spans="1:9" ht="21" customHeight="1">
      <c r="A7" s="626" t="s">
        <v>305</v>
      </c>
      <c r="B7" s="540" t="s">
        <v>938</v>
      </c>
      <c r="C7" s="618">
        <f>'ｼｰﾄNO.3（表-3）59頁'!F32</f>
        <v>11</v>
      </c>
      <c r="D7" s="616">
        <f>'ｼｰﾄNO.3（表-3）59頁'!F30</f>
        <v>9</v>
      </c>
      <c r="E7" s="620">
        <v>50</v>
      </c>
      <c r="F7" s="624">
        <v>0.5</v>
      </c>
      <c r="G7" s="629">
        <v>16.97</v>
      </c>
      <c r="H7" s="616">
        <f>C7*D7*E7*F7*G7</f>
        <v>42000.75</v>
      </c>
      <c r="I7" s="81"/>
    </row>
    <row r="8" spans="1:9" ht="21" customHeight="1">
      <c r="A8" s="627"/>
      <c r="B8" s="542"/>
      <c r="C8" s="619"/>
      <c r="D8" s="617"/>
      <c r="E8" s="621"/>
      <c r="F8" s="625"/>
      <c r="G8" s="630"/>
      <c r="H8" s="617"/>
      <c r="I8" s="81"/>
    </row>
    <row r="9" spans="1:9" ht="22.15" customHeight="1">
      <c r="A9" s="627"/>
      <c r="B9" s="540" t="s">
        <v>939</v>
      </c>
      <c r="C9" s="618">
        <f>'ｼｰﾄNO.3（表-3）59頁'!F33</f>
        <v>18</v>
      </c>
      <c r="D9" s="616">
        <f>'ｼｰﾄNO.3（表-3）59頁'!F30</f>
        <v>9</v>
      </c>
      <c r="E9" s="620">
        <v>50</v>
      </c>
      <c r="F9" s="624">
        <v>0.5</v>
      </c>
      <c r="G9" s="629">
        <v>16.97</v>
      </c>
      <c r="H9" s="616">
        <f t="shared" ref="H9" si="0">C9*D9*E9*F9*G9</f>
        <v>68728.5</v>
      </c>
      <c r="I9" s="81"/>
    </row>
    <row r="10" spans="1:9" ht="22.15" customHeight="1">
      <c r="A10" s="627"/>
      <c r="B10" s="542"/>
      <c r="C10" s="619"/>
      <c r="D10" s="617"/>
      <c r="E10" s="621"/>
      <c r="F10" s="625"/>
      <c r="G10" s="630"/>
      <c r="H10" s="617"/>
      <c r="I10" s="81"/>
    </row>
    <row r="11" spans="1:9" ht="21" customHeight="1">
      <c r="A11" s="627"/>
      <c r="B11" s="540" t="s">
        <v>940</v>
      </c>
      <c r="C11" s="618">
        <f>'ｼｰﾄNO.3（表-3）59頁'!F34</f>
        <v>38</v>
      </c>
      <c r="D11" s="616">
        <f>'ｼｰﾄNO.3（表-3）59頁'!F30</f>
        <v>9</v>
      </c>
      <c r="E11" s="620">
        <v>50</v>
      </c>
      <c r="F11" s="624">
        <v>0.5</v>
      </c>
      <c r="G11" s="629">
        <v>16.97</v>
      </c>
      <c r="H11" s="616">
        <f t="shared" ref="H11" si="1">C11*D11*E11*F11*G11</f>
        <v>145093.5</v>
      </c>
      <c r="I11" s="81"/>
    </row>
    <row r="12" spans="1:9" ht="21" customHeight="1">
      <c r="A12" s="627"/>
      <c r="B12" s="542"/>
      <c r="C12" s="619"/>
      <c r="D12" s="617"/>
      <c r="E12" s="621"/>
      <c r="F12" s="625"/>
      <c r="G12" s="630"/>
      <c r="H12" s="617"/>
      <c r="I12" s="81"/>
    </row>
    <row r="13" spans="1:9" ht="24.95" customHeight="1">
      <c r="A13" s="628"/>
      <c r="B13" s="198" t="s">
        <v>125</v>
      </c>
      <c r="C13" s="358">
        <f>SUM(C7:C12)</f>
        <v>67</v>
      </c>
      <c r="D13" s="83"/>
      <c r="E13" s="83"/>
      <c r="F13" s="84"/>
      <c r="G13" s="85"/>
      <c r="H13" s="359">
        <f>SUM(H7:H12)</f>
        <v>255822.75</v>
      </c>
      <c r="I13" s="81"/>
    </row>
    <row r="14" spans="1:9" ht="22.15" customHeight="1">
      <c r="A14" s="626" t="s">
        <v>306</v>
      </c>
      <c r="B14" s="540" t="s">
        <v>941</v>
      </c>
      <c r="C14" s="618">
        <f>'ｼｰﾄNO.3（表-3）59頁'!F35</f>
        <v>16</v>
      </c>
      <c r="D14" s="616">
        <f>'ｼｰﾄNO.3（表-3）59頁'!F30</f>
        <v>9</v>
      </c>
      <c r="E14" s="620">
        <v>50</v>
      </c>
      <c r="F14" s="624">
        <v>0.5</v>
      </c>
      <c r="G14" s="629">
        <v>16.97</v>
      </c>
      <c r="H14" s="616">
        <f t="shared" ref="H14" si="2">C14*D14*E14*F14*G14</f>
        <v>61091.999999999993</v>
      </c>
      <c r="I14" s="81"/>
    </row>
    <row r="15" spans="1:9" ht="22.15" customHeight="1">
      <c r="A15" s="627"/>
      <c r="B15" s="542"/>
      <c r="C15" s="619"/>
      <c r="D15" s="617"/>
      <c r="E15" s="621"/>
      <c r="F15" s="625"/>
      <c r="G15" s="630"/>
      <c r="H15" s="617"/>
      <c r="I15" s="81"/>
    </row>
    <row r="16" spans="1:9" ht="29.45" customHeight="1">
      <c r="A16" s="627"/>
      <c r="B16" s="540" t="s">
        <v>942</v>
      </c>
      <c r="C16" s="618">
        <f>'ｼｰﾄNO.3（表-3）59頁'!F36</f>
        <v>12</v>
      </c>
      <c r="D16" s="616">
        <f>'ｼｰﾄNO.3（表-3）59頁'!F30</f>
        <v>9</v>
      </c>
      <c r="E16" s="620">
        <v>50</v>
      </c>
      <c r="F16" s="624">
        <v>0.5</v>
      </c>
      <c r="G16" s="629">
        <v>16.97</v>
      </c>
      <c r="H16" s="616">
        <f t="shared" ref="H16" si="3">C16*D16*E16*F16*G16</f>
        <v>45819</v>
      </c>
      <c r="I16" s="81"/>
    </row>
    <row r="17" spans="1:9" ht="29.45" customHeight="1">
      <c r="A17" s="627"/>
      <c r="B17" s="542"/>
      <c r="C17" s="619"/>
      <c r="D17" s="617"/>
      <c r="E17" s="621"/>
      <c r="F17" s="625"/>
      <c r="G17" s="630"/>
      <c r="H17" s="617"/>
      <c r="I17" s="81"/>
    </row>
    <row r="18" spans="1:9" ht="22.15" customHeight="1">
      <c r="A18" s="627"/>
      <c r="B18" s="540" t="s">
        <v>943</v>
      </c>
      <c r="C18" s="618">
        <f>'ｼｰﾄNO.3（表-3）59頁'!F37</f>
        <v>16</v>
      </c>
      <c r="D18" s="616">
        <f>'ｼｰﾄNO.3（表-3）59頁'!F30</f>
        <v>9</v>
      </c>
      <c r="E18" s="620">
        <v>50</v>
      </c>
      <c r="F18" s="624">
        <v>0.5</v>
      </c>
      <c r="G18" s="629">
        <v>16.97</v>
      </c>
      <c r="H18" s="616">
        <f t="shared" ref="H18" si="4">C18*D18*E18*F18*G18</f>
        <v>61091.999999999993</v>
      </c>
      <c r="I18" s="81"/>
    </row>
    <row r="19" spans="1:9" ht="22.15" customHeight="1">
      <c r="A19" s="627"/>
      <c r="B19" s="542"/>
      <c r="C19" s="619"/>
      <c r="D19" s="617"/>
      <c r="E19" s="621"/>
      <c r="F19" s="625"/>
      <c r="G19" s="630"/>
      <c r="H19" s="617"/>
      <c r="I19" s="81"/>
    </row>
    <row r="20" spans="1:9" ht="22.15" customHeight="1">
      <c r="A20" s="627"/>
      <c r="B20" s="540" t="s">
        <v>944</v>
      </c>
      <c r="C20" s="618">
        <f>'ｼｰﾄNO.3（表-3）59頁'!F38</f>
        <v>18</v>
      </c>
      <c r="D20" s="616">
        <f>'ｼｰﾄNO.3（表-3）59頁'!F30</f>
        <v>9</v>
      </c>
      <c r="E20" s="620">
        <v>50</v>
      </c>
      <c r="F20" s="624">
        <v>0.5</v>
      </c>
      <c r="G20" s="629">
        <v>16.97</v>
      </c>
      <c r="H20" s="616">
        <f t="shared" ref="H20" si="5">C20*D20*E20*F20*G20</f>
        <v>68728.5</v>
      </c>
      <c r="I20" s="81"/>
    </row>
    <row r="21" spans="1:9" ht="22.15" customHeight="1">
      <c r="A21" s="627"/>
      <c r="B21" s="542"/>
      <c r="C21" s="619"/>
      <c r="D21" s="617"/>
      <c r="E21" s="621"/>
      <c r="F21" s="625"/>
      <c r="G21" s="630"/>
      <c r="H21" s="617"/>
      <c r="I21" s="81"/>
    </row>
    <row r="22" spans="1:9" ht="22.15" customHeight="1">
      <c r="A22" s="627"/>
      <c r="B22" s="540" t="s">
        <v>945</v>
      </c>
      <c r="C22" s="618">
        <f>'ｼｰﾄNO.3（表-3）59頁'!F39</f>
        <v>12</v>
      </c>
      <c r="D22" s="616">
        <f>'ｼｰﾄNO.3（表-3）59頁'!F30</f>
        <v>9</v>
      </c>
      <c r="E22" s="620">
        <v>200</v>
      </c>
      <c r="F22" s="624">
        <v>0.5</v>
      </c>
      <c r="G22" s="629">
        <v>16.97</v>
      </c>
      <c r="H22" s="616">
        <f t="shared" ref="H22" si="6">C22*D22*E22*F22*G22</f>
        <v>183276</v>
      </c>
      <c r="I22" s="81"/>
    </row>
    <row r="23" spans="1:9" ht="22.15" customHeight="1">
      <c r="A23" s="627"/>
      <c r="B23" s="542"/>
      <c r="C23" s="619"/>
      <c r="D23" s="617"/>
      <c r="E23" s="621"/>
      <c r="F23" s="625"/>
      <c r="G23" s="630"/>
      <c r="H23" s="617"/>
      <c r="I23" s="81"/>
    </row>
    <row r="24" spans="1:9" ht="24.95" customHeight="1">
      <c r="A24" s="628"/>
      <c r="B24" s="198" t="s">
        <v>125</v>
      </c>
      <c r="C24" s="358">
        <f>SUM(C14:C23)</f>
        <v>74</v>
      </c>
      <c r="D24" s="83"/>
      <c r="E24" s="86"/>
      <c r="F24" s="86"/>
      <c r="G24" s="87"/>
      <c r="H24" s="360">
        <f>SUM(H14:H23)</f>
        <v>420007.5</v>
      </c>
      <c r="I24" s="81"/>
    </row>
    <row r="25" spans="1:9">
      <c r="A25" s="81"/>
      <c r="B25" s="81"/>
      <c r="C25" s="81"/>
      <c r="D25" s="81"/>
      <c r="E25" s="81"/>
      <c r="F25" s="81"/>
      <c r="G25" s="81"/>
      <c r="H25" s="81"/>
      <c r="I25" s="81"/>
    </row>
    <row r="26" spans="1:9" ht="15" customHeight="1">
      <c r="A26" s="633" t="s">
        <v>607</v>
      </c>
      <c r="B26" s="633"/>
      <c r="C26" s="633"/>
      <c r="D26" s="633"/>
      <c r="E26" s="633"/>
      <c r="F26" s="633"/>
      <c r="G26" s="81"/>
      <c r="H26" s="81"/>
      <c r="I26" s="81"/>
    </row>
    <row r="27" spans="1:9" ht="9" customHeight="1">
      <c r="A27" s="81"/>
      <c r="B27" s="81"/>
      <c r="C27" s="81"/>
      <c r="D27" s="81"/>
      <c r="E27" s="81"/>
      <c r="F27" s="81"/>
      <c r="G27" s="81"/>
      <c r="H27" s="81"/>
      <c r="I27" s="81"/>
    </row>
    <row r="28" spans="1:9" ht="15" customHeight="1">
      <c r="A28" s="633" t="s">
        <v>606</v>
      </c>
      <c r="B28" s="633"/>
      <c r="C28" s="633"/>
      <c r="D28" s="633"/>
      <c r="E28" s="633"/>
      <c r="F28" s="81"/>
      <c r="G28" s="81"/>
      <c r="H28" s="81"/>
      <c r="I28" s="81"/>
    </row>
    <row r="29" spans="1:9">
      <c r="A29" s="81"/>
      <c r="B29" s="81"/>
      <c r="C29" s="81"/>
      <c r="D29" s="81"/>
      <c r="E29" s="81"/>
      <c r="F29" s="81"/>
      <c r="G29" s="81"/>
      <c r="H29" s="81"/>
      <c r="I29" s="81"/>
    </row>
    <row r="30" spans="1:9">
      <c r="A30" s="81"/>
      <c r="B30" s="81"/>
      <c r="C30" s="81"/>
      <c r="D30" s="81"/>
      <c r="E30" s="81"/>
      <c r="F30" s="81"/>
      <c r="G30" s="81"/>
      <c r="H30" s="81"/>
      <c r="I30" s="81"/>
    </row>
    <row r="31" spans="1:9">
      <c r="A31" s="81"/>
      <c r="B31" s="81"/>
      <c r="C31" s="81"/>
      <c r="D31" s="81"/>
      <c r="E31" s="81"/>
      <c r="F31" s="81"/>
      <c r="G31" s="81"/>
      <c r="H31" s="81"/>
      <c r="I31" s="81"/>
    </row>
    <row r="32" spans="1:9">
      <c r="A32" s="81"/>
      <c r="B32" s="81"/>
      <c r="C32" s="81"/>
      <c r="D32" s="81"/>
      <c r="E32" s="81"/>
      <c r="F32" s="81"/>
      <c r="G32" s="81"/>
      <c r="H32" s="81"/>
      <c r="I32" s="81"/>
    </row>
    <row r="33" spans="1:9">
      <c r="A33" s="81"/>
      <c r="B33" s="81"/>
      <c r="C33" s="81"/>
      <c r="D33" s="81"/>
      <c r="E33" s="81"/>
      <c r="F33" s="81"/>
      <c r="G33" s="81"/>
      <c r="H33" s="81"/>
      <c r="I33" s="81"/>
    </row>
    <row r="34" spans="1:9">
      <c r="A34" s="81"/>
      <c r="B34" s="81"/>
      <c r="C34" s="81"/>
      <c r="D34" s="81"/>
      <c r="E34" s="81"/>
      <c r="F34" s="81"/>
      <c r="G34" s="81"/>
      <c r="H34" s="81"/>
      <c r="I34" s="81"/>
    </row>
    <row r="35" spans="1:9">
      <c r="A35" s="81"/>
      <c r="B35" s="81"/>
      <c r="C35" s="81"/>
      <c r="D35" s="81"/>
      <c r="E35" s="81"/>
      <c r="F35" s="81"/>
      <c r="G35" s="81"/>
      <c r="H35" s="81"/>
      <c r="I35" s="81"/>
    </row>
  </sheetData>
  <mergeCells count="63">
    <mergeCell ref="A3:A5"/>
    <mergeCell ref="A26:F26"/>
    <mergeCell ref="A28:E28"/>
    <mergeCell ref="A14:A24"/>
    <mergeCell ref="B14:B15"/>
    <mergeCell ref="D18:D19"/>
    <mergeCell ref="B22:B23"/>
    <mergeCell ref="C22:C23"/>
    <mergeCell ref="D22:D23"/>
    <mergeCell ref="B20:B21"/>
    <mergeCell ref="C20:C21"/>
    <mergeCell ref="D20:D21"/>
    <mergeCell ref="B18:B19"/>
    <mergeCell ref="C18:C19"/>
    <mergeCell ref="B16:B17"/>
    <mergeCell ref="F18:F19"/>
    <mergeCell ref="H16:H17"/>
    <mergeCell ref="G16:G17"/>
    <mergeCell ref="F9:F10"/>
    <mergeCell ref="C9:C10"/>
    <mergeCell ref="B3:B5"/>
    <mergeCell ref="H14:H15"/>
    <mergeCell ref="G7:G8"/>
    <mergeCell ref="G9:G10"/>
    <mergeCell ref="G11:G12"/>
    <mergeCell ref="G14:G15"/>
    <mergeCell ref="B11:B12"/>
    <mergeCell ref="C14:C15"/>
    <mergeCell ref="D14:D15"/>
    <mergeCell ref="D11:D12"/>
    <mergeCell ref="E14:E15"/>
    <mergeCell ref="C11:C12"/>
    <mergeCell ref="G18:G19"/>
    <mergeCell ref="G20:G21"/>
    <mergeCell ref="G22:G23"/>
    <mergeCell ref="H20:H21"/>
    <mergeCell ref="H22:H23"/>
    <mergeCell ref="H18:H19"/>
    <mergeCell ref="F20:F21"/>
    <mergeCell ref="E16:E17"/>
    <mergeCell ref="F22:F23"/>
    <mergeCell ref="E18:E19"/>
    <mergeCell ref="E20:E21"/>
    <mergeCell ref="E22:E23"/>
    <mergeCell ref="F16:F17"/>
    <mergeCell ref="A6:B6"/>
    <mergeCell ref="F7:F8"/>
    <mergeCell ref="F11:F12"/>
    <mergeCell ref="F14:F15"/>
    <mergeCell ref="C16:C17"/>
    <mergeCell ref="D16:D17"/>
    <mergeCell ref="B9:B10"/>
    <mergeCell ref="A7:A13"/>
    <mergeCell ref="B7:B8"/>
    <mergeCell ref="H7:H8"/>
    <mergeCell ref="H9:H10"/>
    <mergeCell ref="H11:H12"/>
    <mergeCell ref="D7:D8"/>
    <mergeCell ref="C7:C8"/>
    <mergeCell ref="E7:E8"/>
    <mergeCell ref="E9:E10"/>
    <mergeCell ref="E11:E12"/>
    <mergeCell ref="D9:D1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J1" sqref="J1"/>
    </sheetView>
  </sheetViews>
  <sheetFormatPr defaultColWidth="9" defaultRowHeight="13.5"/>
  <cols>
    <col min="1" max="1" width="8" style="75" customWidth="1"/>
    <col min="2" max="2" width="17" style="75" customWidth="1"/>
    <col min="3" max="3" width="7.5" style="75" customWidth="1"/>
    <col min="4" max="7" width="10" style="75" customWidth="1"/>
    <col min="8" max="8" width="23.5" style="75" customWidth="1"/>
    <col min="9" max="9" width="18.25" style="75" customWidth="1"/>
    <col min="10" max="16384" width="9" style="75"/>
  </cols>
  <sheetData>
    <row r="1" spans="1:10" ht="15.6" customHeight="1">
      <c r="A1" s="185" t="s">
        <v>637</v>
      </c>
      <c r="B1" s="90"/>
      <c r="C1" s="90"/>
      <c r="D1" s="90"/>
      <c r="E1" s="90"/>
      <c r="F1" s="90"/>
      <c r="G1" s="90"/>
      <c r="H1" s="90"/>
      <c r="I1" s="195"/>
      <c r="J1" s="74"/>
    </row>
    <row r="2" spans="1:10" ht="15.6" customHeight="1"/>
    <row r="3" spans="1:10" s="247" customFormat="1" ht="32.25" customHeight="1">
      <c r="A3" s="649" t="s">
        <v>627</v>
      </c>
      <c r="B3" s="557" t="s">
        <v>521</v>
      </c>
      <c r="C3" s="242" t="s">
        <v>122</v>
      </c>
      <c r="D3" s="235" t="s">
        <v>121</v>
      </c>
      <c r="E3" s="235" t="s">
        <v>292</v>
      </c>
      <c r="F3" s="235" t="s">
        <v>293</v>
      </c>
      <c r="G3" s="235" t="s">
        <v>197</v>
      </c>
      <c r="H3" s="235" t="s">
        <v>199</v>
      </c>
      <c r="I3" s="212" t="s">
        <v>124</v>
      </c>
    </row>
    <row r="4" spans="1:10" s="247" customFormat="1" ht="21.75" customHeight="1">
      <c r="A4" s="632"/>
      <c r="B4" s="559"/>
      <c r="C4" s="88" t="s">
        <v>108</v>
      </c>
      <c r="D4" s="88" t="s">
        <v>564</v>
      </c>
      <c r="E4" s="89" t="s">
        <v>61</v>
      </c>
      <c r="F4" s="88" t="s">
        <v>74</v>
      </c>
      <c r="G4" s="88" t="s">
        <v>198</v>
      </c>
      <c r="H4" s="89" t="s">
        <v>881</v>
      </c>
      <c r="I4" s="88" t="s">
        <v>639</v>
      </c>
    </row>
    <row r="5" spans="1:10" s="247" customFormat="1" ht="42" customHeight="1">
      <c r="A5" s="632"/>
      <c r="B5" s="648"/>
      <c r="C5" s="238" t="s">
        <v>57</v>
      </c>
      <c r="D5" s="246" t="s">
        <v>60</v>
      </c>
      <c r="E5" s="239" t="s">
        <v>62</v>
      </c>
      <c r="F5" s="246" t="s">
        <v>70</v>
      </c>
      <c r="G5" s="246" t="s">
        <v>75</v>
      </c>
      <c r="H5" s="243" t="s">
        <v>946</v>
      </c>
      <c r="I5" s="239" t="s">
        <v>684</v>
      </c>
    </row>
    <row r="6" spans="1:10" s="247" customFormat="1" ht="43.15" customHeight="1">
      <c r="A6" s="635" t="s">
        <v>311</v>
      </c>
      <c r="B6" s="636"/>
      <c r="C6" s="243" t="s">
        <v>754</v>
      </c>
      <c r="D6" s="239" t="s">
        <v>754</v>
      </c>
      <c r="E6" s="239" t="s">
        <v>631</v>
      </c>
      <c r="F6" s="239" t="s">
        <v>632</v>
      </c>
      <c r="G6" s="239" t="s">
        <v>633</v>
      </c>
      <c r="H6" s="239" t="s">
        <v>442</v>
      </c>
      <c r="I6" s="239" t="s">
        <v>441</v>
      </c>
    </row>
    <row r="7" spans="1:10" ht="21" customHeight="1">
      <c r="A7" s="639" t="s">
        <v>305</v>
      </c>
      <c r="B7" s="540" t="s">
        <v>938</v>
      </c>
      <c r="C7" s="642">
        <f>'ｼｰﾄNO.3（表-3）59頁'!F32</f>
        <v>11</v>
      </c>
      <c r="D7" s="637">
        <f>'ｼｰﾄNO.3（表-3）59頁'!F30</f>
        <v>9</v>
      </c>
      <c r="E7" s="644">
        <v>50</v>
      </c>
      <c r="F7" s="646">
        <v>0.5</v>
      </c>
      <c r="G7" s="644">
        <v>2</v>
      </c>
      <c r="H7" s="644">
        <f>(2000*(D7*E7*F7)+530*(D7*E7*G7))/1000</f>
        <v>927</v>
      </c>
      <c r="I7" s="637">
        <f>C7/365*D7/24*H7</f>
        <v>10.4763698630137</v>
      </c>
    </row>
    <row r="8" spans="1:10" ht="21" customHeight="1">
      <c r="A8" s="640"/>
      <c r="B8" s="542"/>
      <c r="C8" s="643"/>
      <c r="D8" s="638"/>
      <c r="E8" s="645"/>
      <c r="F8" s="647"/>
      <c r="G8" s="645"/>
      <c r="H8" s="645"/>
      <c r="I8" s="638"/>
    </row>
    <row r="9" spans="1:10" ht="22.15" customHeight="1">
      <c r="A9" s="640"/>
      <c r="B9" s="540" t="s">
        <v>939</v>
      </c>
      <c r="C9" s="642">
        <f>'ｼｰﾄNO.3（表-3）59頁'!F33</f>
        <v>18</v>
      </c>
      <c r="D9" s="637">
        <f>'ｼｰﾄNO.3（表-3）59頁'!F30</f>
        <v>9</v>
      </c>
      <c r="E9" s="644">
        <v>50</v>
      </c>
      <c r="F9" s="646">
        <v>0.5</v>
      </c>
      <c r="G9" s="644">
        <v>2</v>
      </c>
      <c r="H9" s="644">
        <f>(2000*(D9*E9*F9)+530*(D9*E9*G9))/1000</f>
        <v>927</v>
      </c>
      <c r="I9" s="637">
        <f t="shared" ref="I9" si="0">C9/365*D9/24*H9</f>
        <v>17.143150684931506</v>
      </c>
    </row>
    <row r="10" spans="1:10" ht="22.15" customHeight="1">
      <c r="A10" s="640"/>
      <c r="B10" s="542"/>
      <c r="C10" s="643"/>
      <c r="D10" s="638"/>
      <c r="E10" s="645"/>
      <c r="F10" s="647"/>
      <c r="G10" s="645"/>
      <c r="H10" s="645"/>
      <c r="I10" s="638"/>
    </row>
    <row r="11" spans="1:10" ht="21" customHeight="1">
      <c r="A11" s="640"/>
      <c r="B11" s="540" t="s">
        <v>940</v>
      </c>
      <c r="C11" s="642">
        <f>'ｼｰﾄNO.3（表-3）59頁'!F34</f>
        <v>38</v>
      </c>
      <c r="D11" s="637">
        <f>'ｼｰﾄNO.3（表-3）59頁'!F30</f>
        <v>9</v>
      </c>
      <c r="E11" s="644">
        <v>50</v>
      </c>
      <c r="F11" s="646">
        <v>0.5</v>
      </c>
      <c r="G11" s="644">
        <v>2</v>
      </c>
      <c r="H11" s="644">
        <f>(2000*(D11*E11*F11)+530*(D11*E11*G11))/1000</f>
        <v>927</v>
      </c>
      <c r="I11" s="637">
        <f t="shared" ref="I11" si="1">C11/365*D11/24*H11</f>
        <v>36.191095890410956</v>
      </c>
    </row>
    <row r="12" spans="1:10" ht="21" customHeight="1">
      <c r="A12" s="640"/>
      <c r="B12" s="542"/>
      <c r="C12" s="643"/>
      <c r="D12" s="638"/>
      <c r="E12" s="645"/>
      <c r="F12" s="647"/>
      <c r="G12" s="645"/>
      <c r="H12" s="645"/>
      <c r="I12" s="638"/>
    </row>
    <row r="13" spans="1:10" ht="24.95" customHeight="1">
      <c r="A13" s="641"/>
      <c r="B13" s="198" t="s">
        <v>125</v>
      </c>
      <c r="C13" s="361">
        <f>SUM(C7:C12)</f>
        <v>67</v>
      </c>
      <c r="D13" s="77"/>
      <c r="E13" s="77"/>
      <c r="F13" s="78"/>
      <c r="G13" s="77"/>
      <c r="H13" s="77"/>
      <c r="I13" s="359">
        <f>SUM(I7:I12)</f>
        <v>63.810616438356163</v>
      </c>
    </row>
    <row r="14" spans="1:10" ht="22.15" customHeight="1">
      <c r="A14" s="639" t="s">
        <v>306</v>
      </c>
      <c r="B14" s="540" t="s">
        <v>941</v>
      </c>
      <c r="C14" s="642">
        <f>'ｼｰﾄNO.3（表-3）59頁'!F35</f>
        <v>16</v>
      </c>
      <c r="D14" s="637">
        <f>'ｼｰﾄNO.3（表-3）59頁'!F30</f>
        <v>9</v>
      </c>
      <c r="E14" s="644">
        <v>50</v>
      </c>
      <c r="F14" s="646">
        <v>0.5</v>
      </c>
      <c r="G14" s="644">
        <v>2</v>
      </c>
      <c r="H14" s="644">
        <f>(2000*(D14*E14*F14)+530*(D14*E14*G14))/1000</f>
        <v>927</v>
      </c>
      <c r="I14" s="637">
        <f t="shared" ref="I14:I22" si="2">C14/365*D14/24*H14</f>
        <v>15.238356164383561</v>
      </c>
    </row>
    <row r="15" spans="1:10" ht="22.15" customHeight="1">
      <c r="A15" s="640"/>
      <c r="B15" s="542"/>
      <c r="C15" s="643"/>
      <c r="D15" s="638"/>
      <c r="E15" s="645"/>
      <c r="F15" s="647"/>
      <c r="G15" s="645"/>
      <c r="H15" s="645"/>
      <c r="I15" s="638"/>
    </row>
    <row r="16" spans="1:10" ht="29.45" customHeight="1">
      <c r="A16" s="640"/>
      <c r="B16" s="540" t="s">
        <v>942</v>
      </c>
      <c r="C16" s="642">
        <f>'ｼｰﾄNO.3（表-3）59頁'!F36</f>
        <v>12</v>
      </c>
      <c r="D16" s="637">
        <f>'ｼｰﾄNO.3（表-3）59頁'!F30</f>
        <v>9</v>
      </c>
      <c r="E16" s="644">
        <v>50</v>
      </c>
      <c r="F16" s="646">
        <v>0.5</v>
      </c>
      <c r="G16" s="644">
        <v>2</v>
      </c>
      <c r="H16" s="644">
        <f t="shared" ref="H16" si="3">(2000*(D16*E16*F16)+530*(D16*E16*G16))/1000</f>
        <v>927</v>
      </c>
      <c r="I16" s="637">
        <f t="shared" si="2"/>
        <v>11.428767123287669</v>
      </c>
    </row>
    <row r="17" spans="1:9" ht="29.45" customHeight="1">
      <c r="A17" s="640"/>
      <c r="B17" s="542"/>
      <c r="C17" s="643"/>
      <c r="D17" s="638"/>
      <c r="E17" s="645"/>
      <c r="F17" s="647"/>
      <c r="G17" s="645"/>
      <c r="H17" s="645"/>
      <c r="I17" s="638"/>
    </row>
    <row r="18" spans="1:9" ht="22.15" customHeight="1">
      <c r="A18" s="640"/>
      <c r="B18" s="540" t="s">
        <v>943</v>
      </c>
      <c r="C18" s="642">
        <f>'ｼｰﾄNO.3（表-3）59頁'!F37</f>
        <v>16</v>
      </c>
      <c r="D18" s="637">
        <f>'ｼｰﾄNO.3（表-3）59頁'!F30</f>
        <v>9</v>
      </c>
      <c r="E18" s="644">
        <v>50</v>
      </c>
      <c r="F18" s="646">
        <v>0.5</v>
      </c>
      <c r="G18" s="644">
        <v>2</v>
      </c>
      <c r="H18" s="644">
        <f t="shared" ref="H18" si="4">(2000*(D18*E18*F18)+530*(D18*E18*G18))/1000</f>
        <v>927</v>
      </c>
      <c r="I18" s="637">
        <f t="shared" si="2"/>
        <v>15.238356164383561</v>
      </c>
    </row>
    <row r="19" spans="1:9" ht="22.15" customHeight="1">
      <c r="A19" s="640"/>
      <c r="B19" s="542"/>
      <c r="C19" s="643"/>
      <c r="D19" s="638"/>
      <c r="E19" s="645"/>
      <c r="F19" s="647"/>
      <c r="G19" s="645"/>
      <c r="H19" s="645"/>
      <c r="I19" s="638"/>
    </row>
    <row r="20" spans="1:9" ht="22.15" customHeight="1">
      <c r="A20" s="640"/>
      <c r="B20" s="540" t="s">
        <v>944</v>
      </c>
      <c r="C20" s="642">
        <f>'ｼｰﾄNO.3（表-3）59頁'!F38</f>
        <v>18</v>
      </c>
      <c r="D20" s="637">
        <f>'ｼｰﾄNO.3（表-3）59頁'!F30</f>
        <v>9</v>
      </c>
      <c r="E20" s="644">
        <v>50</v>
      </c>
      <c r="F20" s="646">
        <v>0.5</v>
      </c>
      <c r="G20" s="644">
        <v>2</v>
      </c>
      <c r="H20" s="644">
        <f t="shared" ref="H20" si="5">(2000*(D20*E20*F20)+530*(D20*E20*G20))/1000</f>
        <v>927</v>
      </c>
      <c r="I20" s="637">
        <f t="shared" si="2"/>
        <v>17.143150684931506</v>
      </c>
    </row>
    <row r="21" spans="1:9" ht="22.15" customHeight="1">
      <c r="A21" s="640"/>
      <c r="B21" s="542"/>
      <c r="C21" s="643"/>
      <c r="D21" s="638"/>
      <c r="E21" s="645"/>
      <c r="F21" s="647"/>
      <c r="G21" s="645"/>
      <c r="H21" s="645"/>
      <c r="I21" s="638"/>
    </row>
    <row r="22" spans="1:9" ht="22.15" customHeight="1">
      <c r="A22" s="640"/>
      <c r="B22" s="540" t="s">
        <v>945</v>
      </c>
      <c r="C22" s="642">
        <f>'ｼｰﾄNO.3（表-3）59頁'!F39</f>
        <v>12</v>
      </c>
      <c r="D22" s="637">
        <f>'ｼｰﾄNO.3（表-3）59頁'!F30</f>
        <v>9</v>
      </c>
      <c r="E22" s="644">
        <v>200</v>
      </c>
      <c r="F22" s="646">
        <v>0.5</v>
      </c>
      <c r="G22" s="644">
        <v>2</v>
      </c>
      <c r="H22" s="644">
        <f t="shared" ref="H22" si="6">(2000*(D22*E22*F22)+530*(D22*E22*G22))/1000</f>
        <v>3708</v>
      </c>
      <c r="I22" s="637">
        <f t="shared" si="2"/>
        <v>45.715068493150675</v>
      </c>
    </row>
    <row r="23" spans="1:9" ht="22.15" customHeight="1">
      <c r="A23" s="640"/>
      <c r="B23" s="542"/>
      <c r="C23" s="643"/>
      <c r="D23" s="638"/>
      <c r="E23" s="645"/>
      <c r="F23" s="647"/>
      <c r="G23" s="645"/>
      <c r="H23" s="645"/>
      <c r="I23" s="638"/>
    </row>
    <row r="24" spans="1:9" ht="24.95" customHeight="1">
      <c r="A24" s="641"/>
      <c r="B24" s="76" t="s">
        <v>125</v>
      </c>
      <c r="C24" s="361">
        <f>SUM(C14:C23)</f>
        <v>74</v>
      </c>
      <c r="D24" s="77"/>
      <c r="E24" s="79"/>
      <c r="F24" s="79"/>
      <c r="G24" s="79"/>
      <c r="H24" s="80"/>
      <c r="I24" s="360">
        <f>SUM(I14:I23)</f>
        <v>104.76369863013697</v>
      </c>
    </row>
    <row r="26" spans="1:9" ht="15" customHeight="1">
      <c r="A26" s="633" t="s">
        <v>634</v>
      </c>
      <c r="B26" s="634"/>
      <c r="C26" s="634"/>
      <c r="D26" s="634"/>
      <c r="E26" s="634"/>
      <c r="F26" s="634"/>
    </row>
    <row r="27" spans="1:9" ht="9" customHeight="1"/>
    <row r="28" spans="1:9" ht="15" customHeight="1">
      <c r="A28" s="633" t="s">
        <v>635</v>
      </c>
      <c r="B28" s="634"/>
      <c r="C28" s="634"/>
      <c r="D28" s="634"/>
      <c r="E28" s="634"/>
      <c r="F28" s="634"/>
    </row>
    <row r="29" spans="1:9" ht="9" customHeight="1"/>
    <row r="30" spans="1:9" ht="15" customHeight="1">
      <c r="A30" s="633" t="s">
        <v>636</v>
      </c>
      <c r="B30" s="634"/>
      <c r="C30" s="634"/>
      <c r="D30" s="634"/>
      <c r="E30" s="634"/>
      <c r="F30" s="634"/>
      <c r="G30" s="634"/>
    </row>
  </sheetData>
  <mergeCells count="72">
    <mergeCell ref="G20:G21"/>
    <mergeCell ref="G22:G23"/>
    <mergeCell ref="G7:G8"/>
    <mergeCell ref="G9:G10"/>
    <mergeCell ref="G11:G12"/>
    <mergeCell ref="G14:G15"/>
    <mergeCell ref="G16:G17"/>
    <mergeCell ref="B3:B5"/>
    <mergeCell ref="A3:A5"/>
    <mergeCell ref="A26:F26"/>
    <mergeCell ref="A28:F28"/>
    <mergeCell ref="F22:F23"/>
    <mergeCell ref="F18:F19"/>
    <mergeCell ref="B20:B21"/>
    <mergeCell ref="C20:C21"/>
    <mergeCell ref="D20:D21"/>
    <mergeCell ref="E20:E21"/>
    <mergeCell ref="F20:F21"/>
    <mergeCell ref="A14:A24"/>
    <mergeCell ref="B14:B15"/>
    <mergeCell ref="C14:C15"/>
    <mergeCell ref="D14:D15"/>
    <mergeCell ref="E14:E15"/>
    <mergeCell ref="I18:I19"/>
    <mergeCell ref="H20:H21"/>
    <mergeCell ref="I20:I21"/>
    <mergeCell ref="H18:H19"/>
    <mergeCell ref="I22:I23"/>
    <mergeCell ref="B22:B23"/>
    <mergeCell ref="C22:C23"/>
    <mergeCell ref="D22:D23"/>
    <mergeCell ref="E22:E23"/>
    <mergeCell ref="H9:H10"/>
    <mergeCell ref="F14:F15"/>
    <mergeCell ref="H14:H15"/>
    <mergeCell ref="C16:C17"/>
    <mergeCell ref="D16:D17"/>
    <mergeCell ref="E16:E17"/>
    <mergeCell ref="B18:B19"/>
    <mergeCell ref="C18:C19"/>
    <mergeCell ref="D18:D19"/>
    <mergeCell ref="E18:E19"/>
    <mergeCell ref="H22:H23"/>
    <mergeCell ref="G18:G19"/>
    <mergeCell ref="I14:I15"/>
    <mergeCell ref="B16:B17"/>
    <mergeCell ref="B11:B12"/>
    <mergeCell ref="C11:C12"/>
    <mergeCell ref="D11:D12"/>
    <mergeCell ref="E11:E12"/>
    <mergeCell ref="F11:F12"/>
    <mergeCell ref="H11:H12"/>
    <mergeCell ref="F16:F17"/>
    <mergeCell ref="H16:H17"/>
    <mergeCell ref="I11:I12"/>
    <mergeCell ref="I16:I17"/>
    <mergeCell ref="A30:G30"/>
    <mergeCell ref="A6:B6"/>
    <mergeCell ref="I9:I10"/>
    <mergeCell ref="A7:A13"/>
    <mergeCell ref="B7:B8"/>
    <mergeCell ref="C7:C8"/>
    <mergeCell ref="D7:D8"/>
    <mergeCell ref="E7:E8"/>
    <mergeCell ref="F7:F8"/>
    <mergeCell ref="H7:H8"/>
    <mergeCell ref="I7:I8"/>
    <mergeCell ref="B9:B10"/>
    <mergeCell ref="C9:C10"/>
    <mergeCell ref="D9:D10"/>
    <mergeCell ref="E9:E10"/>
    <mergeCell ref="F9:F10"/>
  </mergeCells>
  <phoneticPr fontId="3"/>
  <printOptions horizontalCentered="1"/>
  <pageMargins left="0.23622047244094491" right="0.23622047244094491" top="0.94488188976377963" bottom="0.74803149606299213" header="0.31496062992125984" footer="0.31496062992125984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selection activeCell="M1" sqref="M1"/>
    </sheetView>
  </sheetViews>
  <sheetFormatPr defaultColWidth="9" defaultRowHeight="13.5"/>
  <cols>
    <col min="1" max="1" width="8" style="75" customWidth="1"/>
    <col min="2" max="2" width="17" style="75" customWidth="1"/>
    <col min="3" max="3" width="6.875" style="75" customWidth="1"/>
    <col min="4" max="4" width="9.125" style="75" customWidth="1"/>
    <col min="5" max="5" width="7.125" style="75" bestFit="1" customWidth="1"/>
    <col min="6" max="6" width="10" style="75" customWidth="1"/>
    <col min="7" max="7" width="10" style="96" customWidth="1"/>
    <col min="8" max="8" width="10" style="75" customWidth="1"/>
    <col min="9" max="9" width="10" style="95" customWidth="1"/>
    <col min="10" max="10" width="12" style="95" customWidth="1"/>
    <col min="11" max="11" width="10" style="75" customWidth="1"/>
    <col min="12" max="12" width="19.25" style="75" customWidth="1"/>
    <col min="13" max="16384" width="9" style="75"/>
  </cols>
  <sheetData>
    <row r="1" spans="1:13" ht="16.149999999999999" customHeight="1">
      <c r="A1" s="75" t="s">
        <v>646</v>
      </c>
      <c r="L1" s="196"/>
    </row>
    <row r="2" spans="1:13" ht="16.149999999999999" customHeight="1">
      <c r="A2" s="81"/>
      <c r="C2" s="81"/>
      <c r="D2" s="81"/>
      <c r="E2" s="81"/>
      <c r="F2" s="81"/>
      <c r="H2" s="81"/>
      <c r="K2" s="81"/>
      <c r="L2" s="81"/>
    </row>
    <row r="3" spans="1:13" s="82" customFormat="1" ht="31.9" customHeight="1">
      <c r="A3" s="632" t="s">
        <v>592</v>
      </c>
      <c r="B3" s="653" t="s">
        <v>521</v>
      </c>
      <c r="C3" s="235" t="s">
        <v>122</v>
      </c>
      <c r="D3" s="235" t="s">
        <v>121</v>
      </c>
      <c r="E3" s="212" t="s">
        <v>554</v>
      </c>
      <c r="F3" s="235" t="s">
        <v>416</v>
      </c>
      <c r="G3" s="97" t="s">
        <v>113</v>
      </c>
      <c r="H3" s="212" t="s">
        <v>112</v>
      </c>
      <c r="I3" s="98" t="s">
        <v>116</v>
      </c>
      <c r="J3" s="98" t="s">
        <v>117</v>
      </c>
      <c r="K3" s="235" t="s">
        <v>118</v>
      </c>
      <c r="L3" s="212" t="s">
        <v>124</v>
      </c>
    </row>
    <row r="4" spans="1:13" s="82" customFormat="1" ht="27.6" customHeight="1">
      <c r="A4" s="632"/>
      <c r="B4" s="654"/>
      <c r="C4" s="88" t="s">
        <v>108</v>
      </c>
      <c r="D4" s="88" t="s">
        <v>564</v>
      </c>
      <c r="E4" s="88"/>
      <c r="F4" s="89" t="s">
        <v>119</v>
      </c>
      <c r="G4" s="103" t="s">
        <v>555</v>
      </c>
      <c r="H4" s="88" t="s">
        <v>68</v>
      </c>
      <c r="I4" s="91" t="s">
        <v>77</v>
      </c>
      <c r="J4" s="91" t="s">
        <v>59</v>
      </c>
      <c r="K4" s="89" t="s">
        <v>120</v>
      </c>
      <c r="L4" s="88" t="s">
        <v>638</v>
      </c>
    </row>
    <row r="5" spans="1:13" s="82" customFormat="1" ht="46.5" customHeight="1">
      <c r="A5" s="632"/>
      <c r="B5" s="655"/>
      <c r="C5" s="246" t="s">
        <v>556</v>
      </c>
      <c r="D5" s="246" t="s">
        <v>60</v>
      </c>
      <c r="E5" s="246" t="s">
        <v>441</v>
      </c>
      <c r="F5" s="239" t="s">
        <v>62</v>
      </c>
      <c r="G5" s="92" t="s">
        <v>70</v>
      </c>
      <c r="H5" s="246" t="s">
        <v>75</v>
      </c>
      <c r="I5" s="93" t="s">
        <v>78</v>
      </c>
      <c r="J5" s="94" t="s">
        <v>752</v>
      </c>
      <c r="K5" s="239" t="s">
        <v>84</v>
      </c>
      <c r="L5" s="239" t="s">
        <v>721</v>
      </c>
    </row>
    <row r="6" spans="1:13" s="82" customFormat="1" ht="31.15" customHeight="1">
      <c r="A6" s="622" t="s">
        <v>311</v>
      </c>
      <c r="B6" s="623"/>
      <c r="C6" s="239" t="s">
        <v>760</v>
      </c>
      <c r="D6" s="239" t="s">
        <v>759</v>
      </c>
      <c r="E6" s="246" t="s">
        <v>441</v>
      </c>
      <c r="F6" s="239" t="s">
        <v>640</v>
      </c>
      <c r="G6" s="239" t="s">
        <v>641</v>
      </c>
      <c r="H6" s="239" t="s">
        <v>642</v>
      </c>
      <c r="I6" s="239" t="s">
        <v>496</v>
      </c>
      <c r="J6" s="239" t="s">
        <v>553</v>
      </c>
      <c r="K6" s="239" t="s">
        <v>496</v>
      </c>
      <c r="L6" s="239" t="s">
        <v>553</v>
      </c>
      <c r="M6" s="362"/>
    </row>
    <row r="7" spans="1:13" ht="21" customHeight="1">
      <c r="A7" s="626" t="s">
        <v>305</v>
      </c>
      <c r="B7" s="540" t="s">
        <v>938</v>
      </c>
      <c r="C7" s="650">
        <f>'ｼｰﾄNO.3（表-3）59頁'!F32</f>
        <v>11</v>
      </c>
      <c r="D7" s="652">
        <f>'ｼｰﾄNO.3（表-3）59頁'!F30</f>
        <v>9</v>
      </c>
      <c r="E7" s="99" t="s">
        <v>114</v>
      </c>
      <c r="F7" s="366">
        <v>10</v>
      </c>
      <c r="G7" s="367">
        <v>7.5</v>
      </c>
      <c r="H7" s="366">
        <v>50</v>
      </c>
      <c r="I7" s="367">
        <v>3.6</v>
      </c>
      <c r="J7" s="363">
        <f t="shared" ref="J7:J12" si="0">H7/1000/I7*60</f>
        <v>0.83333333333333337</v>
      </c>
      <c r="K7" s="325">
        <v>25.75</v>
      </c>
      <c r="L7" s="99">
        <f>(C7*D7*F7*G7*J7*K7)/100</f>
        <v>1593.28125</v>
      </c>
    </row>
    <row r="8" spans="1:13" ht="21" customHeight="1">
      <c r="A8" s="627"/>
      <c r="B8" s="542"/>
      <c r="C8" s="651"/>
      <c r="D8" s="652"/>
      <c r="E8" s="100" t="s">
        <v>115</v>
      </c>
      <c r="F8" s="368">
        <v>5</v>
      </c>
      <c r="G8" s="369">
        <v>7.5</v>
      </c>
      <c r="H8" s="368">
        <v>50</v>
      </c>
      <c r="I8" s="369">
        <v>10.5</v>
      </c>
      <c r="J8" s="364">
        <f t="shared" si="0"/>
        <v>0.28571428571428575</v>
      </c>
      <c r="K8" s="370">
        <v>25.75</v>
      </c>
      <c r="L8" s="100">
        <f>(C7*D7*F8*G8*J8*K8)/100</f>
        <v>273.13392857142861</v>
      </c>
    </row>
    <row r="9" spans="1:13" ht="22.15" customHeight="1">
      <c r="A9" s="627"/>
      <c r="B9" s="540" t="s">
        <v>939</v>
      </c>
      <c r="C9" s="650">
        <f>'ｼｰﾄNO.3（表-3）59頁'!F33</f>
        <v>18</v>
      </c>
      <c r="D9" s="652">
        <f>'ｼｰﾄNO.3（表-3）59頁'!F30</f>
        <v>9</v>
      </c>
      <c r="E9" s="99" t="s">
        <v>114</v>
      </c>
      <c r="F9" s="366">
        <v>10</v>
      </c>
      <c r="G9" s="367">
        <v>7.5</v>
      </c>
      <c r="H9" s="366">
        <v>50</v>
      </c>
      <c r="I9" s="367">
        <v>3.6</v>
      </c>
      <c r="J9" s="363">
        <f t="shared" si="0"/>
        <v>0.83333333333333337</v>
      </c>
      <c r="K9" s="325">
        <v>25.75</v>
      </c>
      <c r="L9" s="99">
        <f>(C9*D9*F9*G9*J9*K9)/100</f>
        <v>2607.1875</v>
      </c>
    </row>
    <row r="10" spans="1:13" ht="22.15" customHeight="1">
      <c r="A10" s="627"/>
      <c r="B10" s="542"/>
      <c r="C10" s="651"/>
      <c r="D10" s="652"/>
      <c r="E10" s="100" t="s">
        <v>115</v>
      </c>
      <c r="F10" s="368">
        <v>5</v>
      </c>
      <c r="G10" s="369">
        <v>7.5</v>
      </c>
      <c r="H10" s="368">
        <v>50</v>
      </c>
      <c r="I10" s="369">
        <v>10.5</v>
      </c>
      <c r="J10" s="364">
        <f t="shared" si="0"/>
        <v>0.28571428571428575</v>
      </c>
      <c r="K10" s="370">
        <v>25.75</v>
      </c>
      <c r="L10" s="100">
        <f>(C9*D9*F10*G10*J10*K10)/100</f>
        <v>446.94642857142861</v>
      </c>
    </row>
    <row r="11" spans="1:13" ht="21" customHeight="1">
      <c r="A11" s="627"/>
      <c r="B11" s="540" t="s">
        <v>940</v>
      </c>
      <c r="C11" s="650">
        <f>'ｼｰﾄNO.3（表-3）59頁'!F34</f>
        <v>38</v>
      </c>
      <c r="D11" s="652">
        <f>'ｼｰﾄNO.3（表-3）59頁'!F30</f>
        <v>9</v>
      </c>
      <c r="E11" s="99" t="s">
        <v>114</v>
      </c>
      <c r="F11" s="366">
        <v>10</v>
      </c>
      <c r="G11" s="367">
        <v>7.5</v>
      </c>
      <c r="H11" s="366">
        <v>50</v>
      </c>
      <c r="I11" s="367">
        <v>3.6</v>
      </c>
      <c r="J11" s="363">
        <f t="shared" si="0"/>
        <v>0.83333333333333337</v>
      </c>
      <c r="K11" s="325">
        <v>25.75</v>
      </c>
      <c r="L11" s="99">
        <f>(C11*D11*F11*G11*J11*K11)/100</f>
        <v>5504.0625</v>
      </c>
    </row>
    <row r="12" spans="1:13" ht="21" customHeight="1">
      <c r="A12" s="627"/>
      <c r="B12" s="542"/>
      <c r="C12" s="651"/>
      <c r="D12" s="652"/>
      <c r="E12" s="100" t="s">
        <v>115</v>
      </c>
      <c r="F12" s="368">
        <v>5</v>
      </c>
      <c r="G12" s="369">
        <v>7.5</v>
      </c>
      <c r="H12" s="368">
        <v>50</v>
      </c>
      <c r="I12" s="369">
        <v>10.5</v>
      </c>
      <c r="J12" s="364">
        <f t="shared" si="0"/>
        <v>0.28571428571428575</v>
      </c>
      <c r="K12" s="370">
        <v>25.75</v>
      </c>
      <c r="L12" s="100">
        <f>(C11*D11*F12*G12*J12*K12)/100</f>
        <v>943.55357142857156</v>
      </c>
    </row>
    <row r="13" spans="1:13" ht="24.95" customHeight="1">
      <c r="A13" s="628"/>
      <c r="B13" s="198" t="s">
        <v>125</v>
      </c>
      <c r="C13" s="358">
        <f>SUM(C7:C12)</f>
        <v>67</v>
      </c>
      <c r="D13" s="83"/>
      <c r="E13" s="86"/>
      <c r="F13" s="86"/>
      <c r="G13" s="101"/>
      <c r="H13" s="86"/>
      <c r="I13" s="102"/>
      <c r="J13" s="102"/>
      <c r="K13" s="87"/>
      <c r="L13" s="365">
        <f>SUM(L7:L12)</f>
        <v>11368.165178571428</v>
      </c>
    </row>
    <row r="14" spans="1:13" ht="22.15" customHeight="1">
      <c r="A14" s="626" t="s">
        <v>306</v>
      </c>
      <c r="B14" s="540" t="s">
        <v>941</v>
      </c>
      <c r="C14" s="650">
        <f>'ｼｰﾄNO.3（表-3）59頁'!F35</f>
        <v>16</v>
      </c>
      <c r="D14" s="652">
        <f>'ｼｰﾄNO.3（表-3）59頁'!F30</f>
        <v>9</v>
      </c>
      <c r="E14" s="99" t="s">
        <v>114</v>
      </c>
      <c r="F14" s="366">
        <v>10</v>
      </c>
      <c r="G14" s="367">
        <v>7.5</v>
      </c>
      <c r="H14" s="366">
        <v>50</v>
      </c>
      <c r="I14" s="367">
        <v>3.6</v>
      </c>
      <c r="J14" s="363">
        <f t="shared" ref="J14:J23" si="1">H14/1000/I14*60</f>
        <v>0.83333333333333337</v>
      </c>
      <c r="K14" s="325">
        <v>25.75</v>
      </c>
      <c r="L14" s="99">
        <f>(C14*D14*F14*G14*J14*K14)/100</f>
        <v>2317.5</v>
      </c>
    </row>
    <row r="15" spans="1:13" ht="22.15" customHeight="1">
      <c r="A15" s="627"/>
      <c r="B15" s="542"/>
      <c r="C15" s="651"/>
      <c r="D15" s="652"/>
      <c r="E15" s="100" t="s">
        <v>115</v>
      </c>
      <c r="F15" s="368">
        <v>5</v>
      </c>
      <c r="G15" s="369">
        <v>7.5</v>
      </c>
      <c r="H15" s="368">
        <v>50</v>
      </c>
      <c r="I15" s="369">
        <v>10.5</v>
      </c>
      <c r="J15" s="364">
        <f t="shared" si="1"/>
        <v>0.28571428571428575</v>
      </c>
      <c r="K15" s="370">
        <v>25.75</v>
      </c>
      <c r="L15" s="100">
        <f>(C14*D14*F15*G15*J15*K15)/100</f>
        <v>397.28571428571433</v>
      </c>
    </row>
    <row r="16" spans="1:13" ht="29.45" customHeight="1">
      <c r="A16" s="627"/>
      <c r="B16" s="540" t="s">
        <v>942</v>
      </c>
      <c r="C16" s="650">
        <f>'ｼｰﾄNO.3（表-3）59頁'!F36</f>
        <v>12</v>
      </c>
      <c r="D16" s="652">
        <f>'ｼｰﾄNO.3（表-3）59頁'!F30</f>
        <v>9</v>
      </c>
      <c r="E16" s="99" t="s">
        <v>114</v>
      </c>
      <c r="F16" s="366">
        <v>10</v>
      </c>
      <c r="G16" s="367">
        <v>7.5</v>
      </c>
      <c r="H16" s="366">
        <v>50</v>
      </c>
      <c r="I16" s="367">
        <v>3.6</v>
      </c>
      <c r="J16" s="363">
        <f t="shared" si="1"/>
        <v>0.83333333333333337</v>
      </c>
      <c r="K16" s="325">
        <v>25.75</v>
      </c>
      <c r="L16" s="99">
        <f>(C16*D16*F16*G16*J16*K16)/100</f>
        <v>1738.125</v>
      </c>
    </row>
    <row r="17" spans="1:12" ht="29.45" customHeight="1">
      <c r="A17" s="627"/>
      <c r="B17" s="542"/>
      <c r="C17" s="651"/>
      <c r="D17" s="652"/>
      <c r="E17" s="100" t="s">
        <v>115</v>
      </c>
      <c r="F17" s="368">
        <v>5</v>
      </c>
      <c r="G17" s="369">
        <v>7.5</v>
      </c>
      <c r="H17" s="368">
        <v>50</v>
      </c>
      <c r="I17" s="369">
        <v>10.5</v>
      </c>
      <c r="J17" s="364">
        <f t="shared" si="1"/>
        <v>0.28571428571428575</v>
      </c>
      <c r="K17" s="370">
        <v>25.75</v>
      </c>
      <c r="L17" s="100">
        <f>(C16*D16*F17*G17*J17*K17)*0.01</f>
        <v>297.96428571428578</v>
      </c>
    </row>
    <row r="18" spans="1:12" ht="22.15" customHeight="1">
      <c r="A18" s="627"/>
      <c r="B18" s="540" t="s">
        <v>943</v>
      </c>
      <c r="C18" s="650">
        <f>'ｼｰﾄNO.3（表-3）59頁'!F37</f>
        <v>16</v>
      </c>
      <c r="D18" s="652">
        <f>'ｼｰﾄNO.3（表-3）59頁'!F30</f>
        <v>9</v>
      </c>
      <c r="E18" s="99" t="s">
        <v>114</v>
      </c>
      <c r="F18" s="366">
        <v>10</v>
      </c>
      <c r="G18" s="367">
        <v>7.5</v>
      </c>
      <c r="H18" s="366">
        <v>50</v>
      </c>
      <c r="I18" s="367">
        <v>3.6</v>
      </c>
      <c r="J18" s="363">
        <f t="shared" si="1"/>
        <v>0.83333333333333337</v>
      </c>
      <c r="K18" s="325">
        <v>25.75</v>
      </c>
      <c r="L18" s="99">
        <f>(C18*D18*F18*G18*J18*K18)*0.01</f>
        <v>2317.5</v>
      </c>
    </row>
    <row r="19" spans="1:12" ht="22.15" customHeight="1">
      <c r="A19" s="627"/>
      <c r="B19" s="542"/>
      <c r="C19" s="651"/>
      <c r="D19" s="652"/>
      <c r="E19" s="100" t="s">
        <v>115</v>
      </c>
      <c r="F19" s="368">
        <v>5</v>
      </c>
      <c r="G19" s="369">
        <v>7.5</v>
      </c>
      <c r="H19" s="368">
        <v>50</v>
      </c>
      <c r="I19" s="369">
        <v>10.5</v>
      </c>
      <c r="J19" s="364">
        <f t="shared" si="1"/>
        <v>0.28571428571428575</v>
      </c>
      <c r="K19" s="370">
        <v>25.75</v>
      </c>
      <c r="L19" s="100">
        <f>(C18*D18*F19*G19*J19*K19)*0.01</f>
        <v>397.28571428571433</v>
      </c>
    </row>
    <row r="20" spans="1:12" ht="22.15" customHeight="1">
      <c r="A20" s="627"/>
      <c r="B20" s="540" t="s">
        <v>944</v>
      </c>
      <c r="C20" s="650">
        <f>'ｼｰﾄNO.3（表-3）59頁'!F38</f>
        <v>18</v>
      </c>
      <c r="D20" s="652">
        <f>'ｼｰﾄNO.3（表-3）59頁'!F30</f>
        <v>9</v>
      </c>
      <c r="E20" s="99" t="s">
        <v>114</v>
      </c>
      <c r="F20" s="366">
        <v>10</v>
      </c>
      <c r="G20" s="367">
        <v>7.5</v>
      </c>
      <c r="H20" s="366">
        <v>50</v>
      </c>
      <c r="I20" s="367">
        <v>3.6</v>
      </c>
      <c r="J20" s="363">
        <f t="shared" si="1"/>
        <v>0.83333333333333337</v>
      </c>
      <c r="K20" s="325">
        <v>25.75</v>
      </c>
      <c r="L20" s="99">
        <f>(C20*D20*F20*G20*J20*K20)*0.01</f>
        <v>2607.1875</v>
      </c>
    </row>
    <row r="21" spans="1:12" ht="22.15" customHeight="1">
      <c r="A21" s="627"/>
      <c r="B21" s="542"/>
      <c r="C21" s="651"/>
      <c r="D21" s="652"/>
      <c r="E21" s="100" t="s">
        <v>115</v>
      </c>
      <c r="F21" s="368">
        <v>5</v>
      </c>
      <c r="G21" s="369">
        <v>7.5</v>
      </c>
      <c r="H21" s="368">
        <v>50</v>
      </c>
      <c r="I21" s="369">
        <v>10.5</v>
      </c>
      <c r="J21" s="364">
        <f t="shared" si="1"/>
        <v>0.28571428571428575</v>
      </c>
      <c r="K21" s="370">
        <v>25.75</v>
      </c>
      <c r="L21" s="100">
        <f>(C20*D20*F21*G21*J21*K21)*0.01</f>
        <v>446.94642857142861</v>
      </c>
    </row>
    <row r="22" spans="1:12" ht="22.15" customHeight="1">
      <c r="A22" s="627"/>
      <c r="B22" s="540" t="s">
        <v>945</v>
      </c>
      <c r="C22" s="650">
        <f>'ｼｰﾄNO.3（表-3）59頁'!F39</f>
        <v>12</v>
      </c>
      <c r="D22" s="652">
        <f>'ｼｰﾄNO.3（表-3）59頁'!F30</f>
        <v>9</v>
      </c>
      <c r="E22" s="99" t="s">
        <v>114</v>
      </c>
      <c r="F22" s="366">
        <v>10</v>
      </c>
      <c r="G22" s="367">
        <v>7.5</v>
      </c>
      <c r="H22" s="366">
        <v>50</v>
      </c>
      <c r="I22" s="367">
        <v>3.6</v>
      </c>
      <c r="J22" s="363">
        <f t="shared" si="1"/>
        <v>0.83333333333333337</v>
      </c>
      <c r="K22" s="325">
        <v>25.75</v>
      </c>
      <c r="L22" s="99">
        <f>(C22*D22*F22*G22*J22*K22)*0.01</f>
        <v>1738.125</v>
      </c>
    </row>
    <row r="23" spans="1:12" ht="22.15" customHeight="1">
      <c r="A23" s="627"/>
      <c r="B23" s="542"/>
      <c r="C23" s="651"/>
      <c r="D23" s="652"/>
      <c r="E23" s="100" t="s">
        <v>115</v>
      </c>
      <c r="F23" s="368">
        <v>5</v>
      </c>
      <c r="G23" s="369">
        <v>7.5</v>
      </c>
      <c r="H23" s="368">
        <v>50</v>
      </c>
      <c r="I23" s="369">
        <v>10.5</v>
      </c>
      <c r="J23" s="364">
        <f t="shared" si="1"/>
        <v>0.28571428571428575</v>
      </c>
      <c r="K23" s="370">
        <v>25.75</v>
      </c>
      <c r="L23" s="100">
        <f>(C22*D22*F23*G23*J23*K23)*0.01</f>
        <v>297.96428571428578</v>
      </c>
    </row>
    <row r="24" spans="1:12" ht="24.95" customHeight="1">
      <c r="A24" s="628"/>
      <c r="B24" s="198" t="s">
        <v>125</v>
      </c>
      <c r="C24" s="358">
        <f>SUM(C14:C23)</f>
        <v>74</v>
      </c>
      <c r="D24" s="83"/>
      <c r="E24" s="86"/>
      <c r="F24" s="86"/>
      <c r="G24" s="101"/>
      <c r="H24" s="86"/>
      <c r="I24" s="102"/>
      <c r="J24" s="102"/>
      <c r="K24" s="87"/>
      <c r="L24" s="360">
        <f>SUM(L14:L23)</f>
        <v>12555.883928571429</v>
      </c>
    </row>
    <row r="25" spans="1:12">
      <c r="A25" s="81"/>
      <c r="C25" s="81"/>
      <c r="D25" s="81"/>
      <c r="E25" s="81"/>
      <c r="F25" s="81"/>
      <c r="H25" s="81"/>
      <c r="K25" s="81"/>
      <c r="L25" s="81"/>
    </row>
    <row r="26" spans="1:12" ht="15" customHeight="1">
      <c r="A26" s="633" t="s">
        <v>643</v>
      </c>
      <c r="B26" s="633"/>
      <c r="C26" s="633"/>
      <c r="D26" s="633"/>
      <c r="E26" s="633"/>
      <c r="F26" s="633"/>
      <c r="G26" s="633"/>
      <c r="H26" s="633"/>
      <c r="I26" s="633"/>
      <c r="K26" s="81"/>
      <c r="L26" s="81"/>
    </row>
    <row r="27" spans="1:12" ht="9" customHeight="1">
      <c r="A27" s="240"/>
      <c r="B27" s="240"/>
      <c r="C27" s="240"/>
      <c r="D27" s="240"/>
      <c r="E27" s="240"/>
      <c r="F27" s="240"/>
      <c r="G27" s="240"/>
      <c r="H27" s="240"/>
      <c r="I27" s="240"/>
      <c r="K27" s="81"/>
      <c r="L27" s="81"/>
    </row>
    <row r="28" spans="1:12" ht="15" customHeight="1">
      <c r="A28" s="633" t="s">
        <v>644</v>
      </c>
      <c r="B28" s="633"/>
      <c r="C28" s="633"/>
      <c r="D28" s="633"/>
      <c r="E28" s="633"/>
      <c r="F28" s="633"/>
      <c r="G28" s="633"/>
      <c r="H28" s="633"/>
      <c r="I28" s="633"/>
      <c r="K28" s="81"/>
      <c r="L28" s="81"/>
    </row>
    <row r="29" spans="1:12" ht="9" customHeight="1">
      <c r="A29" s="81"/>
      <c r="C29" s="81"/>
      <c r="D29" s="81"/>
      <c r="E29" s="240"/>
      <c r="F29" s="240"/>
      <c r="G29" s="240"/>
      <c r="H29" s="240"/>
      <c r="I29" s="240"/>
      <c r="K29" s="81"/>
      <c r="L29" s="81"/>
    </row>
    <row r="30" spans="1:12" ht="15" customHeight="1">
      <c r="A30" s="633" t="s">
        <v>645</v>
      </c>
      <c r="B30" s="633"/>
      <c r="C30" s="633"/>
      <c r="D30" s="633"/>
      <c r="E30" s="633"/>
      <c r="F30" s="633"/>
      <c r="G30" s="81"/>
      <c r="H30" s="81"/>
      <c r="K30" s="81"/>
      <c r="L30" s="81"/>
    </row>
    <row r="31" spans="1:12">
      <c r="A31" s="633"/>
      <c r="B31" s="633"/>
      <c r="C31" s="633"/>
      <c r="D31" s="633"/>
      <c r="E31" s="633"/>
      <c r="F31" s="633"/>
      <c r="G31" s="633"/>
      <c r="H31" s="81"/>
      <c r="K31" s="81"/>
      <c r="L31" s="81"/>
    </row>
    <row r="32" spans="1:12">
      <c r="A32" s="81"/>
      <c r="C32" s="81"/>
      <c r="D32" s="81"/>
      <c r="E32" s="81"/>
      <c r="F32" s="81"/>
      <c r="H32" s="81"/>
      <c r="K32" s="81"/>
      <c r="L32" s="81"/>
    </row>
    <row r="33" spans="1:12">
      <c r="A33" s="81"/>
      <c r="C33" s="81"/>
      <c r="D33" s="81"/>
      <c r="E33" s="81"/>
      <c r="F33" s="81"/>
      <c r="H33" s="81"/>
      <c r="K33" s="81"/>
      <c r="L33" s="81"/>
    </row>
    <row r="34" spans="1:12">
      <c r="A34" s="81"/>
      <c r="C34" s="81"/>
      <c r="D34" s="81"/>
      <c r="E34" s="81"/>
      <c r="F34" s="81"/>
      <c r="H34" s="81"/>
      <c r="K34" s="81"/>
      <c r="L34" s="81"/>
    </row>
    <row r="35" spans="1:12">
      <c r="A35" s="81"/>
      <c r="C35" s="81"/>
      <c r="D35" s="81"/>
      <c r="E35" s="81"/>
      <c r="F35" s="81"/>
      <c r="H35" s="81"/>
      <c r="K35" s="81"/>
      <c r="L35" s="81"/>
    </row>
    <row r="36" spans="1:12">
      <c r="A36" s="81"/>
      <c r="C36" s="81"/>
      <c r="D36" s="81"/>
      <c r="E36" s="81"/>
      <c r="F36" s="81"/>
      <c r="H36" s="81"/>
      <c r="K36" s="81"/>
      <c r="L36" s="81"/>
    </row>
  </sheetData>
  <mergeCells count="33">
    <mergeCell ref="A31:G31"/>
    <mergeCell ref="A26:I26"/>
    <mergeCell ref="A28:I28"/>
    <mergeCell ref="A30:F30"/>
    <mergeCell ref="A14:A24"/>
    <mergeCell ref="C16:C17"/>
    <mergeCell ref="D16:D17"/>
    <mergeCell ref="B18:B19"/>
    <mergeCell ref="C18:C19"/>
    <mergeCell ref="D18:D19"/>
    <mergeCell ref="B20:B21"/>
    <mergeCell ref="C20:C21"/>
    <mergeCell ref="D20:D21"/>
    <mergeCell ref="B16:B17"/>
    <mergeCell ref="B14:B15"/>
    <mergeCell ref="C14:C15"/>
    <mergeCell ref="A3:A5"/>
    <mergeCell ref="B3:B5"/>
    <mergeCell ref="A6:B6"/>
    <mergeCell ref="A7:A13"/>
    <mergeCell ref="C7:C8"/>
    <mergeCell ref="B9:B10"/>
    <mergeCell ref="C9:C10"/>
    <mergeCell ref="C11:C12"/>
    <mergeCell ref="B11:B12"/>
    <mergeCell ref="B7:B8"/>
    <mergeCell ref="B22:B23"/>
    <mergeCell ref="C22:C23"/>
    <mergeCell ref="D22:D23"/>
    <mergeCell ref="D7:D8"/>
    <mergeCell ref="D9:D10"/>
    <mergeCell ref="D11:D12"/>
    <mergeCell ref="D14:D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ignoredErrors>
    <ignoredError sqref="L8:L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J1" sqref="J1"/>
    </sheetView>
  </sheetViews>
  <sheetFormatPr defaultColWidth="9" defaultRowHeight="13.5"/>
  <cols>
    <col min="1" max="1" width="8" style="75" customWidth="1"/>
    <col min="2" max="2" width="17" style="75" customWidth="1"/>
    <col min="3" max="3" width="7.5" style="75" customWidth="1"/>
    <col min="4" max="4" width="10" style="75" customWidth="1"/>
    <col min="5" max="5" width="7.5" style="75" customWidth="1"/>
    <col min="6" max="6" width="11" style="75" customWidth="1"/>
    <col min="7" max="7" width="10.75" style="104" customWidth="1"/>
    <col min="8" max="8" width="13.75" style="105" customWidth="1"/>
    <col min="9" max="9" width="18.625" style="75" customWidth="1"/>
    <col min="10" max="16384" width="9" style="75"/>
  </cols>
  <sheetData>
    <row r="1" spans="1:10" ht="15.6" customHeight="1">
      <c r="A1" s="75" t="s">
        <v>649</v>
      </c>
      <c r="I1" s="196"/>
    </row>
    <row r="2" spans="1:10" ht="15.6" customHeight="1">
      <c r="A2" s="81"/>
      <c r="C2" s="81"/>
      <c r="D2" s="81"/>
      <c r="E2" s="81"/>
      <c r="F2" s="81"/>
      <c r="I2" s="81"/>
      <c r="J2" s="81"/>
    </row>
    <row r="3" spans="1:10" s="82" customFormat="1" ht="31.9" customHeight="1">
      <c r="A3" s="632" t="s">
        <v>592</v>
      </c>
      <c r="B3" s="631" t="s">
        <v>560</v>
      </c>
      <c r="C3" s="235" t="s">
        <v>122</v>
      </c>
      <c r="D3" s="235" t="s">
        <v>121</v>
      </c>
      <c r="E3" s="212" t="s">
        <v>557</v>
      </c>
      <c r="F3" s="212" t="s">
        <v>112</v>
      </c>
      <c r="G3" s="106" t="s">
        <v>127</v>
      </c>
      <c r="H3" s="107" t="s">
        <v>126</v>
      </c>
      <c r="I3" s="212" t="s">
        <v>124</v>
      </c>
    </row>
    <row r="4" spans="1:10" s="82" customFormat="1" ht="20.25" customHeight="1">
      <c r="A4" s="632"/>
      <c r="B4" s="631"/>
      <c r="C4" s="88" t="s">
        <v>108</v>
      </c>
      <c r="D4" s="88" t="s">
        <v>563</v>
      </c>
      <c r="E4" s="88"/>
      <c r="F4" s="88" t="s">
        <v>68</v>
      </c>
      <c r="G4" s="108" t="s">
        <v>129</v>
      </c>
      <c r="H4" s="109" t="s">
        <v>128</v>
      </c>
      <c r="I4" s="88" t="s">
        <v>638</v>
      </c>
    </row>
    <row r="5" spans="1:10" s="82" customFormat="1" ht="45.75" customHeight="1">
      <c r="A5" s="632"/>
      <c r="B5" s="631"/>
      <c r="C5" s="246" t="s">
        <v>57</v>
      </c>
      <c r="D5" s="246" t="s">
        <v>60</v>
      </c>
      <c r="E5" s="246" t="s">
        <v>441</v>
      </c>
      <c r="F5" s="246" t="s">
        <v>62</v>
      </c>
      <c r="G5" s="110" t="s">
        <v>70</v>
      </c>
      <c r="H5" s="111" t="s">
        <v>75</v>
      </c>
      <c r="I5" s="239" t="s">
        <v>722</v>
      </c>
    </row>
    <row r="6" spans="1:10" s="82" customFormat="1" ht="30.6" customHeight="1">
      <c r="A6" s="622" t="s">
        <v>311</v>
      </c>
      <c r="B6" s="623"/>
      <c r="C6" s="239" t="s">
        <v>754</v>
      </c>
      <c r="D6" s="239" t="s">
        <v>754</v>
      </c>
      <c r="E6" s="246" t="s">
        <v>441</v>
      </c>
      <c r="F6" s="239" t="s">
        <v>647</v>
      </c>
      <c r="G6" s="112" t="s">
        <v>497</v>
      </c>
      <c r="H6" s="111" t="s">
        <v>561</v>
      </c>
      <c r="I6" s="239" t="s">
        <v>498</v>
      </c>
    </row>
    <row r="7" spans="1:10" ht="21" customHeight="1">
      <c r="A7" s="626" t="s">
        <v>305</v>
      </c>
      <c r="B7" s="540" t="s">
        <v>938</v>
      </c>
      <c r="C7" s="650">
        <f>'ｼｰﾄNO.3（表-3）59頁'!F32</f>
        <v>11</v>
      </c>
      <c r="D7" s="652">
        <f>'ｼｰﾄNO.3（表-3）59頁'!F30</f>
        <v>9</v>
      </c>
      <c r="E7" s="99" t="s">
        <v>114</v>
      </c>
      <c r="F7" s="366">
        <v>50</v>
      </c>
      <c r="G7" s="371">
        <v>5.4100000000000002E-2</v>
      </c>
      <c r="H7" s="372">
        <v>1162000</v>
      </c>
      <c r="I7" s="99">
        <f>F7/1000*G7*(C7*D7/365/24)*H7</f>
        <v>35.522578767123292</v>
      </c>
      <c r="J7" s="81"/>
    </row>
    <row r="8" spans="1:10" ht="21" customHeight="1">
      <c r="A8" s="627"/>
      <c r="B8" s="542"/>
      <c r="C8" s="651"/>
      <c r="D8" s="652"/>
      <c r="E8" s="100" t="s">
        <v>115</v>
      </c>
      <c r="F8" s="368">
        <v>50</v>
      </c>
      <c r="G8" s="373">
        <v>0.1085</v>
      </c>
      <c r="H8" s="374">
        <v>1162000</v>
      </c>
      <c r="I8" s="100">
        <f>F8/1000*G8*(C7*D7/365/24)*H8</f>
        <v>71.24214041095891</v>
      </c>
      <c r="J8" s="81"/>
    </row>
    <row r="9" spans="1:10" ht="22.15" customHeight="1">
      <c r="A9" s="627"/>
      <c r="B9" s="540" t="s">
        <v>939</v>
      </c>
      <c r="C9" s="650">
        <f>'ｼｰﾄNO.3（表-3）59頁'!F33</f>
        <v>18</v>
      </c>
      <c r="D9" s="652">
        <f>'ｼｰﾄNO.3（表-3）59頁'!F30</f>
        <v>9</v>
      </c>
      <c r="E9" s="99" t="s">
        <v>114</v>
      </c>
      <c r="F9" s="366">
        <v>50</v>
      </c>
      <c r="G9" s="371">
        <v>5.4100000000000002E-2</v>
      </c>
      <c r="H9" s="372">
        <v>1162000</v>
      </c>
      <c r="I9" s="99">
        <f t="shared" ref="I9" si="0">F9/1000*G9*(C9*D9/365/24)*H9</f>
        <v>58.127856164383566</v>
      </c>
      <c r="J9" s="81"/>
    </row>
    <row r="10" spans="1:10" ht="22.15" customHeight="1">
      <c r="A10" s="627"/>
      <c r="B10" s="542"/>
      <c r="C10" s="651"/>
      <c r="D10" s="652"/>
      <c r="E10" s="100" t="s">
        <v>115</v>
      </c>
      <c r="F10" s="368">
        <v>50</v>
      </c>
      <c r="G10" s="373">
        <v>0.1085</v>
      </c>
      <c r="H10" s="374">
        <v>1162000</v>
      </c>
      <c r="I10" s="100">
        <f t="shared" ref="I10" si="1">F10/1000*G10*(C9*D9/365/24)*H10</f>
        <v>116.57804794520548</v>
      </c>
      <c r="J10" s="81"/>
    </row>
    <row r="11" spans="1:10" ht="21" customHeight="1">
      <c r="A11" s="627"/>
      <c r="B11" s="540" t="s">
        <v>940</v>
      </c>
      <c r="C11" s="650">
        <f>'ｼｰﾄNO.3（表-3）59頁'!F34</f>
        <v>38</v>
      </c>
      <c r="D11" s="652">
        <f>'ｼｰﾄNO.3（表-3）59頁'!F30</f>
        <v>9</v>
      </c>
      <c r="E11" s="99" t="s">
        <v>114</v>
      </c>
      <c r="F11" s="366">
        <v>50</v>
      </c>
      <c r="G11" s="371">
        <v>5.4100000000000002E-2</v>
      </c>
      <c r="H11" s="372">
        <v>1162000</v>
      </c>
      <c r="I11" s="99">
        <f t="shared" ref="I11" si="2">F11/1000*G11*(C11*D11/365/24)*H11</f>
        <v>122.71436301369864</v>
      </c>
      <c r="J11" s="81"/>
    </row>
    <row r="12" spans="1:10" ht="21" customHeight="1">
      <c r="A12" s="627"/>
      <c r="B12" s="542"/>
      <c r="C12" s="651"/>
      <c r="D12" s="652"/>
      <c r="E12" s="100" t="s">
        <v>115</v>
      </c>
      <c r="F12" s="368">
        <v>50</v>
      </c>
      <c r="G12" s="373">
        <v>0.1085</v>
      </c>
      <c r="H12" s="374">
        <v>1162000</v>
      </c>
      <c r="I12" s="100">
        <f t="shared" ref="I12" si="3">F12/1000*G12*(C11*D11/365/24)*H12</f>
        <v>246.10921232876711</v>
      </c>
      <c r="J12" s="81"/>
    </row>
    <row r="13" spans="1:10" ht="24.95" customHeight="1">
      <c r="A13" s="628"/>
      <c r="B13" s="198" t="s">
        <v>125</v>
      </c>
      <c r="C13" s="358">
        <f>SUM(C7:C12)</f>
        <v>67</v>
      </c>
      <c r="D13" s="83"/>
      <c r="E13" s="86"/>
      <c r="F13" s="86"/>
      <c r="G13" s="113"/>
      <c r="H13" s="114"/>
      <c r="I13" s="365">
        <f>SUM(I7:I12)</f>
        <v>650.29419863013698</v>
      </c>
      <c r="J13" s="81"/>
    </row>
    <row r="14" spans="1:10" ht="22.15" customHeight="1">
      <c r="A14" s="626" t="s">
        <v>306</v>
      </c>
      <c r="B14" s="540" t="s">
        <v>941</v>
      </c>
      <c r="C14" s="650">
        <f>'ｼｰﾄNO.3（表-3）59頁'!F35</f>
        <v>16</v>
      </c>
      <c r="D14" s="652">
        <f>'ｼｰﾄNO.3（表-3）59頁'!F30</f>
        <v>9</v>
      </c>
      <c r="E14" s="99" t="s">
        <v>114</v>
      </c>
      <c r="F14" s="366">
        <v>50</v>
      </c>
      <c r="G14" s="371">
        <v>5.4100000000000002E-2</v>
      </c>
      <c r="H14" s="372">
        <v>1162000</v>
      </c>
      <c r="I14" s="99">
        <f t="shared" ref="I14" si="4">F14/1000*G14*(C14*D14/365/24)*H14</f>
        <v>51.66920547945206</v>
      </c>
      <c r="J14" s="81"/>
    </row>
    <row r="15" spans="1:10" ht="22.15" customHeight="1">
      <c r="A15" s="627"/>
      <c r="B15" s="542"/>
      <c r="C15" s="651"/>
      <c r="D15" s="652"/>
      <c r="E15" s="100" t="s">
        <v>115</v>
      </c>
      <c r="F15" s="368">
        <v>50</v>
      </c>
      <c r="G15" s="373">
        <v>0.1085</v>
      </c>
      <c r="H15" s="374">
        <v>1162000</v>
      </c>
      <c r="I15" s="100">
        <f t="shared" ref="I15" si="5">F15/1000*G15*(C14*D14/365/24)*H15</f>
        <v>103.62493150684931</v>
      </c>
      <c r="J15" s="81"/>
    </row>
    <row r="16" spans="1:10" ht="29.45" customHeight="1">
      <c r="A16" s="627"/>
      <c r="B16" s="540" t="s">
        <v>942</v>
      </c>
      <c r="C16" s="650">
        <f>'ｼｰﾄNO.3（表-3）59頁'!F36</f>
        <v>12</v>
      </c>
      <c r="D16" s="652">
        <f>'ｼｰﾄNO.3（表-3）59頁'!F30</f>
        <v>9</v>
      </c>
      <c r="E16" s="99" t="s">
        <v>114</v>
      </c>
      <c r="F16" s="366">
        <v>50</v>
      </c>
      <c r="G16" s="371">
        <v>5.4100000000000002E-2</v>
      </c>
      <c r="H16" s="372">
        <v>1162000</v>
      </c>
      <c r="I16" s="99">
        <f t="shared" ref="I16" si="6">F16/1000*G16*(C16*D16/365/24)*H16</f>
        <v>38.751904109589049</v>
      </c>
      <c r="J16" s="81"/>
    </row>
    <row r="17" spans="1:10" ht="29.45" customHeight="1">
      <c r="A17" s="627"/>
      <c r="B17" s="542"/>
      <c r="C17" s="651"/>
      <c r="D17" s="652"/>
      <c r="E17" s="100" t="s">
        <v>115</v>
      </c>
      <c r="F17" s="368">
        <v>50</v>
      </c>
      <c r="G17" s="373">
        <v>0.1085</v>
      </c>
      <c r="H17" s="374">
        <v>1162000</v>
      </c>
      <c r="I17" s="100">
        <f t="shared" ref="I17" si="7">F17/1000*G17*(C16*D16/365/24)*H17</f>
        <v>77.718698630136998</v>
      </c>
      <c r="J17" s="81"/>
    </row>
    <row r="18" spans="1:10" ht="22.15" customHeight="1">
      <c r="A18" s="627"/>
      <c r="B18" s="540" t="s">
        <v>943</v>
      </c>
      <c r="C18" s="650">
        <f>'ｼｰﾄNO.3（表-3）59頁'!F37</f>
        <v>16</v>
      </c>
      <c r="D18" s="652">
        <f>'ｼｰﾄNO.3（表-3）59頁'!F30</f>
        <v>9</v>
      </c>
      <c r="E18" s="99" t="s">
        <v>114</v>
      </c>
      <c r="F18" s="366">
        <v>50</v>
      </c>
      <c r="G18" s="371">
        <v>5.4100000000000002E-2</v>
      </c>
      <c r="H18" s="372">
        <v>1162000</v>
      </c>
      <c r="I18" s="99">
        <f t="shared" ref="I18" si="8">F18/1000*G18*(C18*D18/365/24)*H18</f>
        <v>51.66920547945206</v>
      </c>
      <c r="J18" s="81"/>
    </row>
    <row r="19" spans="1:10" ht="22.15" customHeight="1">
      <c r="A19" s="627"/>
      <c r="B19" s="542"/>
      <c r="C19" s="651"/>
      <c r="D19" s="652"/>
      <c r="E19" s="100" t="s">
        <v>115</v>
      </c>
      <c r="F19" s="368">
        <v>50</v>
      </c>
      <c r="G19" s="373">
        <v>0.1085</v>
      </c>
      <c r="H19" s="374">
        <v>1162000</v>
      </c>
      <c r="I19" s="100">
        <f t="shared" ref="I19" si="9">F19/1000*G19*(C18*D18/365/24)*H19</f>
        <v>103.62493150684931</v>
      </c>
      <c r="J19" s="81"/>
    </row>
    <row r="20" spans="1:10" ht="22.15" customHeight="1">
      <c r="A20" s="627"/>
      <c r="B20" s="540" t="s">
        <v>944</v>
      </c>
      <c r="C20" s="650">
        <f>'ｼｰﾄNO.3（表-3）59頁'!F38</f>
        <v>18</v>
      </c>
      <c r="D20" s="652">
        <f>'ｼｰﾄNO.3（表-3）59頁'!F30</f>
        <v>9</v>
      </c>
      <c r="E20" s="99" t="s">
        <v>114</v>
      </c>
      <c r="F20" s="366">
        <v>50</v>
      </c>
      <c r="G20" s="371">
        <v>5.4100000000000002E-2</v>
      </c>
      <c r="H20" s="372">
        <v>1162000</v>
      </c>
      <c r="I20" s="99">
        <f t="shared" ref="I20" si="10">F20/1000*G20*(C20*D20/365/24)*H20</f>
        <v>58.127856164383566</v>
      </c>
      <c r="J20" s="81"/>
    </row>
    <row r="21" spans="1:10" ht="22.15" customHeight="1">
      <c r="A21" s="627"/>
      <c r="B21" s="542"/>
      <c r="C21" s="651"/>
      <c r="D21" s="652"/>
      <c r="E21" s="100" t="s">
        <v>115</v>
      </c>
      <c r="F21" s="368">
        <v>50</v>
      </c>
      <c r="G21" s="373">
        <v>0.1085</v>
      </c>
      <c r="H21" s="374">
        <v>1162000</v>
      </c>
      <c r="I21" s="100">
        <f t="shared" ref="I21" si="11">F21/1000*G21*(C20*D20/365/24)*H21</f>
        <v>116.57804794520548</v>
      </c>
      <c r="J21" s="81"/>
    </row>
    <row r="22" spans="1:10" ht="22.15" customHeight="1">
      <c r="A22" s="627"/>
      <c r="B22" s="540" t="s">
        <v>945</v>
      </c>
      <c r="C22" s="650">
        <f>'ｼｰﾄNO.3（表-3）59頁'!F39</f>
        <v>12</v>
      </c>
      <c r="D22" s="652">
        <f>'ｼｰﾄNO.3（表-3）59頁'!F30</f>
        <v>9</v>
      </c>
      <c r="E22" s="99" t="s">
        <v>114</v>
      </c>
      <c r="F22" s="366">
        <v>50</v>
      </c>
      <c r="G22" s="371">
        <v>5.4100000000000002E-2</v>
      </c>
      <c r="H22" s="372">
        <v>1162000</v>
      </c>
      <c r="I22" s="99">
        <f t="shared" ref="I22" si="12">F22/1000*G22*(C22*D22/365/24)*H22</f>
        <v>38.751904109589049</v>
      </c>
      <c r="J22" s="81"/>
    </row>
    <row r="23" spans="1:10" ht="22.15" customHeight="1">
      <c r="A23" s="627"/>
      <c r="B23" s="542"/>
      <c r="C23" s="651"/>
      <c r="D23" s="652"/>
      <c r="E23" s="100" t="s">
        <v>115</v>
      </c>
      <c r="F23" s="368">
        <v>50</v>
      </c>
      <c r="G23" s="373">
        <v>0.1085</v>
      </c>
      <c r="H23" s="374">
        <v>1162000</v>
      </c>
      <c r="I23" s="100">
        <f t="shared" ref="I23" si="13">F23/1000*G23*(C22*D22/365/24)*H23</f>
        <v>77.718698630136998</v>
      </c>
      <c r="J23" s="81"/>
    </row>
    <row r="24" spans="1:10" ht="24.95" customHeight="1">
      <c r="A24" s="628"/>
      <c r="B24" s="198" t="s">
        <v>125</v>
      </c>
      <c r="C24" s="358">
        <f>SUM(C14:C23)</f>
        <v>74</v>
      </c>
      <c r="D24" s="83"/>
      <c r="E24" s="86"/>
      <c r="F24" s="86"/>
      <c r="G24" s="113"/>
      <c r="H24" s="114"/>
      <c r="I24" s="360">
        <f>SUM(I14:I23)</f>
        <v>718.23538356164386</v>
      </c>
      <c r="J24" s="81"/>
    </row>
    <row r="25" spans="1:10">
      <c r="A25" s="81"/>
      <c r="C25" s="81"/>
      <c r="D25" s="81"/>
      <c r="E25" s="81"/>
      <c r="F25" s="81"/>
      <c r="I25" s="81"/>
      <c r="J25" s="81"/>
    </row>
    <row r="26" spans="1:10">
      <c r="A26" s="633" t="s">
        <v>648</v>
      </c>
      <c r="B26" s="633"/>
      <c r="C26" s="633"/>
      <c r="D26" s="633"/>
      <c r="E26" s="633"/>
      <c r="F26" s="81"/>
      <c r="I26" s="81"/>
      <c r="J26" s="81"/>
    </row>
    <row r="27" spans="1:10">
      <c r="A27" s="81"/>
      <c r="C27" s="81"/>
      <c r="D27" s="81"/>
      <c r="E27" s="81"/>
      <c r="F27" s="81"/>
      <c r="I27" s="81"/>
      <c r="J27" s="81"/>
    </row>
    <row r="28" spans="1:10">
      <c r="A28" s="81"/>
      <c r="C28" s="81"/>
      <c r="D28" s="81"/>
      <c r="E28" s="81"/>
      <c r="F28" s="81"/>
      <c r="I28" s="81"/>
      <c r="J28" s="81"/>
    </row>
    <row r="29" spans="1:10">
      <c r="A29" s="81"/>
      <c r="C29" s="81"/>
      <c r="D29" s="81"/>
      <c r="E29" s="81"/>
      <c r="F29" s="81"/>
      <c r="I29" s="81"/>
      <c r="J29" s="81"/>
    </row>
    <row r="30" spans="1:10">
      <c r="A30" s="81"/>
      <c r="C30" s="81"/>
      <c r="D30" s="81"/>
      <c r="E30" s="81"/>
      <c r="F30" s="81"/>
      <c r="I30" s="81"/>
      <c r="J30" s="81"/>
    </row>
    <row r="31" spans="1:10">
      <c r="A31" s="81"/>
      <c r="C31" s="81"/>
      <c r="D31" s="81"/>
      <c r="E31" s="81"/>
      <c r="F31" s="81"/>
      <c r="I31" s="81"/>
      <c r="J31" s="81"/>
    </row>
    <row r="32" spans="1:10">
      <c r="A32" s="81"/>
      <c r="C32" s="81"/>
      <c r="D32" s="81"/>
      <c r="E32" s="81"/>
      <c r="F32" s="81"/>
      <c r="I32" s="81"/>
      <c r="J32" s="81"/>
    </row>
    <row r="33" spans="1:10">
      <c r="A33" s="81"/>
      <c r="C33" s="81"/>
      <c r="D33" s="81"/>
      <c r="E33" s="81"/>
      <c r="F33" s="81"/>
      <c r="I33" s="81"/>
      <c r="J33" s="81"/>
    </row>
    <row r="34" spans="1:10">
      <c r="A34" s="81"/>
      <c r="C34" s="81"/>
      <c r="D34" s="81"/>
      <c r="E34" s="81"/>
      <c r="F34" s="81"/>
      <c r="I34" s="81"/>
      <c r="J34" s="81"/>
    </row>
    <row r="35" spans="1:10">
      <c r="A35" s="81"/>
      <c r="C35" s="81"/>
      <c r="D35" s="81"/>
      <c r="E35" s="81"/>
      <c r="F35" s="81"/>
      <c r="I35" s="81"/>
      <c r="J35" s="81"/>
    </row>
    <row r="36" spans="1:10">
      <c r="A36" s="81"/>
      <c r="C36" s="81"/>
      <c r="D36" s="81"/>
      <c r="E36" s="81"/>
      <c r="F36" s="81"/>
      <c r="I36" s="81"/>
      <c r="J36" s="81"/>
    </row>
  </sheetData>
  <mergeCells count="30">
    <mergeCell ref="D14:D15"/>
    <mergeCell ref="B16:B17"/>
    <mergeCell ref="C16:C17"/>
    <mergeCell ref="D16:D17"/>
    <mergeCell ref="B18:B19"/>
    <mergeCell ref="C18:C19"/>
    <mergeCell ref="A6:B6"/>
    <mergeCell ref="A3:A5"/>
    <mergeCell ref="B3:B5"/>
    <mergeCell ref="B22:B23"/>
    <mergeCell ref="C22:C23"/>
    <mergeCell ref="A14:A24"/>
    <mergeCell ref="B14:B15"/>
    <mergeCell ref="C14:C15"/>
    <mergeCell ref="A7:A13"/>
    <mergeCell ref="B7:B8"/>
    <mergeCell ref="C7:C8"/>
    <mergeCell ref="D7:D8"/>
    <mergeCell ref="B9:B10"/>
    <mergeCell ref="C9:C10"/>
    <mergeCell ref="D9:D10"/>
    <mergeCell ref="B11:B12"/>
    <mergeCell ref="C11:C12"/>
    <mergeCell ref="D11:D12"/>
    <mergeCell ref="A26:E26"/>
    <mergeCell ref="D18:D19"/>
    <mergeCell ref="B20:B21"/>
    <mergeCell ref="C20:C21"/>
    <mergeCell ref="D20:D21"/>
    <mergeCell ref="D22:D2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ignoredErrors>
    <ignoredError sqref="I8:I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K1" sqref="K1"/>
    </sheetView>
  </sheetViews>
  <sheetFormatPr defaultColWidth="9" defaultRowHeight="13.5"/>
  <cols>
    <col min="1" max="1" width="8" style="81" customWidth="1"/>
    <col min="2" max="2" width="17" style="81" customWidth="1"/>
    <col min="3" max="3" width="7.125" style="81" customWidth="1"/>
    <col min="4" max="6" width="10" style="81" customWidth="1"/>
    <col min="7" max="7" width="11.125" style="104" customWidth="1"/>
    <col min="8" max="8" width="9.75" style="104" customWidth="1"/>
    <col min="9" max="9" width="13.875" style="116" customWidth="1"/>
    <col min="10" max="10" width="22.25" style="81" customWidth="1"/>
    <col min="11" max="16384" width="9" style="81"/>
  </cols>
  <sheetData>
    <row r="1" spans="1:15" ht="15.6" customHeight="1">
      <c r="A1" s="75" t="s">
        <v>650</v>
      </c>
      <c r="B1" s="75"/>
      <c r="C1" s="75"/>
      <c r="D1" s="75"/>
      <c r="E1" s="75"/>
      <c r="F1" s="75"/>
      <c r="J1" s="196"/>
    </row>
    <row r="2" spans="1:15" ht="15.6" customHeight="1">
      <c r="B2" s="75"/>
    </row>
    <row r="3" spans="1:15" s="82" customFormat="1" ht="31.9" customHeight="1">
      <c r="A3" s="632" t="s">
        <v>627</v>
      </c>
      <c r="B3" s="631" t="s">
        <v>560</v>
      </c>
      <c r="C3" s="235" t="s">
        <v>122</v>
      </c>
      <c r="D3" s="235" t="s">
        <v>121</v>
      </c>
      <c r="E3" s="235" t="s">
        <v>487</v>
      </c>
      <c r="F3" s="235" t="s">
        <v>470</v>
      </c>
      <c r="G3" s="106" t="s">
        <v>132</v>
      </c>
      <c r="H3" s="106" t="s">
        <v>462</v>
      </c>
      <c r="I3" s="117" t="s">
        <v>464</v>
      </c>
      <c r="J3" s="212" t="s">
        <v>124</v>
      </c>
    </row>
    <row r="4" spans="1:15" s="82" customFormat="1" ht="20.25" customHeight="1">
      <c r="A4" s="632"/>
      <c r="B4" s="631"/>
      <c r="C4" s="88" t="s">
        <v>108</v>
      </c>
      <c r="D4" s="88" t="s">
        <v>564</v>
      </c>
      <c r="E4" s="88" t="s">
        <v>130</v>
      </c>
      <c r="F4" s="88" t="s">
        <v>130</v>
      </c>
      <c r="G4" s="108" t="s">
        <v>131</v>
      </c>
      <c r="H4" s="108" t="s">
        <v>651</v>
      </c>
      <c r="I4" s="115" t="s">
        <v>463</v>
      </c>
      <c r="J4" s="88" t="s">
        <v>638</v>
      </c>
    </row>
    <row r="5" spans="1:15" s="82" customFormat="1" ht="47.45" customHeight="1">
      <c r="A5" s="632"/>
      <c r="B5" s="631"/>
      <c r="C5" s="246" t="s">
        <v>57</v>
      </c>
      <c r="D5" s="246" t="s">
        <v>60</v>
      </c>
      <c r="E5" s="246" t="s">
        <v>62</v>
      </c>
      <c r="F5" s="246" t="s">
        <v>70</v>
      </c>
      <c r="G5" s="110" t="s">
        <v>75</v>
      </c>
      <c r="H5" s="110" t="s">
        <v>465</v>
      </c>
      <c r="I5" s="118" t="s">
        <v>79</v>
      </c>
      <c r="J5" s="239" t="s">
        <v>723</v>
      </c>
    </row>
    <row r="6" spans="1:15" s="82" customFormat="1" ht="39.75" customHeight="1">
      <c r="A6" s="622" t="s">
        <v>311</v>
      </c>
      <c r="B6" s="623"/>
      <c r="C6" s="239" t="s">
        <v>761</v>
      </c>
      <c r="D6" s="239" t="s">
        <v>761</v>
      </c>
      <c r="E6" s="239" t="s">
        <v>652</v>
      </c>
      <c r="F6" s="239" t="s">
        <v>653</v>
      </c>
      <c r="G6" s="239" t="s">
        <v>654</v>
      </c>
      <c r="H6" s="239" t="s">
        <v>655</v>
      </c>
      <c r="I6" s="118" t="s">
        <v>566</v>
      </c>
      <c r="J6" s="239" t="s">
        <v>499</v>
      </c>
    </row>
    <row r="7" spans="1:15" ht="42" customHeight="1">
      <c r="A7" s="626" t="s">
        <v>305</v>
      </c>
      <c r="B7" s="198" t="s">
        <v>947</v>
      </c>
      <c r="C7" s="358">
        <f>'ｼｰﾄNO.3（表-3）59頁'!F32</f>
        <v>11</v>
      </c>
      <c r="D7" s="150">
        <f>'ｼｰﾄNO.3（表-3）59頁'!F30</f>
        <v>9</v>
      </c>
      <c r="E7" s="366">
        <v>65</v>
      </c>
      <c r="F7" s="366">
        <v>50</v>
      </c>
      <c r="G7" s="372">
        <v>7850</v>
      </c>
      <c r="H7" s="372">
        <v>4000</v>
      </c>
      <c r="I7" s="372">
        <v>12</v>
      </c>
      <c r="J7" s="99">
        <f>C7*D7/24*(E7-F7)*G7/1000000*H7*I7</f>
        <v>23314.5</v>
      </c>
      <c r="M7" s="158"/>
      <c r="N7" s="158"/>
      <c r="O7" s="158"/>
    </row>
    <row r="8" spans="1:15" ht="44.45" customHeight="1">
      <c r="A8" s="627"/>
      <c r="B8" s="198" t="s">
        <v>948</v>
      </c>
      <c r="C8" s="358">
        <f>'ｼｰﾄNO.3（表-3）59頁'!F33</f>
        <v>18</v>
      </c>
      <c r="D8" s="150">
        <f>'ｼｰﾄNO.3（表-3）59頁'!F30</f>
        <v>9</v>
      </c>
      <c r="E8" s="366">
        <v>65</v>
      </c>
      <c r="F8" s="366">
        <v>50</v>
      </c>
      <c r="G8" s="372">
        <f>7850*2</f>
        <v>15700</v>
      </c>
      <c r="H8" s="372">
        <v>4000</v>
      </c>
      <c r="I8" s="372">
        <v>12</v>
      </c>
      <c r="J8" s="99">
        <f t="shared" ref="J8:J9" si="0">C8*D8/24*(E8-F8)*G8/1000000*H8*I8</f>
        <v>76302</v>
      </c>
    </row>
    <row r="9" spans="1:15" ht="42" customHeight="1">
      <c r="A9" s="627"/>
      <c r="B9" s="198" t="s">
        <v>949</v>
      </c>
      <c r="C9" s="358">
        <f>'ｼｰﾄNO.3（表-3）59頁'!F34</f>
        <v>38</v>
      </c>
      <c r="D9" s="150">
        <f>'ｼｰﾄNO.3（表-3）59頁'!F30</f>
        <v>9</v>
      </c>
      <c r="E9" s="366">
        <v>65</v>
      </c>
      <c r="F9" s="366">
        <v>50</v>
      </c>
      <c r="G9" s="372">
        <v>7850</v>
      </c>
      <c r="H9" s="372">
        <v>4000</v>
      </c>
      <c r="I9" s="372">
        <v>12</v>
      </c>
      <c r="J9" s="375">
        <f t="shared" si="0"/>
        <v>80541</v>
      </c>
    </row>
    <row r="10" spans="1:15" ht="24.95" customHeight="1">
      <c r="A10" s="628"/>
      <c r="B10" s="198" t="s">
        <v>125</v>
      </c>
      <c r="C10" s="358">
        <f>SUM(C7:C9)</f>
        <v>67</v>
      </c>
      <c r="D10" s="83"/>
      <c r="E10" s="86"/>
      <c r="F10" s="86"/>
      <c r="G10" s="119"/>
      <c r="H10" s="119"/>
      <c r="I10" s="87"/>
      <c r="J10" s="376">
        <f>SUM(J7:J9)</f>
        <v>180157.5</v>
      </c>
    </row>
    <row r="11" spans="1:15" ht="44.45" customHeight="1">
      <c r="A11" s="626" t="s">
        <v>306</v>
      </c>
      <c r="B11" s="198" t="s">
        <v>941</v>
      </c>
      <c r="C11" s="358">
        <f>'ｼｰﾄNO.3（表-3）59頁'!F35</f>
        <v>16</v>
      </c>
      <c r="D11" s="150">
        <f>'ｼｰﾄNO.3（表-3）59頁'!F30</f>
        <v>9</v>
      </c>
      <c r="E11" s="366">
        <v>65</v>
      </c>
      <c r="F11" s="366">
        <v>50</v>
      </c>
      <c r="G11" s="372">
        <v>7850</v>
      </c>
      <c r="H11" s="372">
        <v>4000</v>
      </c>
      <c r="I11" s="372">
        <v>12</v>
      </c>
      <c r="J11" s="99">
        <f>C11*D11/24*(E11-F11)*G11/1000000*H11*I11</f>
        <v>33912</v>
      </c>
    </row>
    <row r="12" spans="1:15" ht="59.25" customHeight="1">
      <c r="A12" s="627"/>
      <c r="B12" s="198" t="s">
        <v>950</v>
      </c>
      <c r="C12" s="358">
        <f>'ｼｰﾄNO.3（表-3）59頁'!F36</f>
        <v>12</v>
      </c>
      <c r="D12" s="150">
        <f>'ｼｰﾄNO.3（表-3）59頁'!F30</f>
        <v>9</v>
      </c>
      <c r="E12" s="366">
        <v>65</v>
      </c>
      <c r="F12" s="366">
        <v>50</v>
      </c>
      <c r="G12" s="372">
        <f>7850*2</f>
        <v>15700</v>
      </c>
      <c r="H12" s="372">
        <v>4000</v>
      </c>
      <c r="I12" s="372">
        <v>12</v>
      </c>
      <c r="J12" s="99">
        <f t="shared" ref="J12:J15" si="1">C12*D12/24*(E12-F12)*G12/1000000*H12*I12</f>
        <v>50868</v>
      </c>
    </row>
    <row r="13" spans="1:15" ht="44.45" customHeight="1">
      <c r="A13" s="627"/>
      <c r="B13" s="198" t="s">
        <v>951</v>
      </c>
      <c r="C13" s="358">
        <f>'ｼｰﾄNO.3（表-3）59頁'!F37</f>
        <v>16</v>
      </c>
      <c r="D13" s="150">
        <f>'ｼｰﾄNO.3（表-3）59頁'!F30</f>
        <v>9</v>
      </c>
      <c r="E13" s="366">
        <v>65</v>
      </c>
      <c r="F13" s="366">
        <v>50</v>
      </c>
      <c r="G13" s="372">
        <v>7850</v>
      </c>
      <c r="H13" s="372">
        <v>4000</v>
      </c>
      <c r="I13" s="372">
        <v>12</v>
      </c>
      <c r="J13" s="99">
        <f t="shared" si="1"/>
        <v>33912</v>
      </c>
    </row>
    <row r="14" spans="1:15" ht="44.45" customHeight="1">
      <c r="A14" s="627"/>
      <c r="B14" s="198" t="s">
        <v>952</v>
      </c>
      <c r="C14" s="358">
        <f>'ｼｰﾄNO.3（表-3）59頁'!F38</f>
        <v>18</v>
      </c>
      <c r="D14" s="150">
        <f>'ｼｰﾄNO.3（表-3）59頁'!F30</f>
        <v>9</v>
      </c>
      <c r="E14" s="366">
        <v>65</v>
      </c>
      <c r="F14" s="366">
        <v>50</v>
      </c>
      <c r="G14" s="372">
        <v>7850</v>
      </c>
      <c r="H14" s="372">
        <v>4000</v>
      </c>
      <c r="I14" s="372">
        <v>12</v>
      </c>
      <c r="J14" s="99">
        <f t="shared" si="1"/>
        <v>38151</v>
      </c>
    </row>
    <row r="15" spans="1:15" ht="44.45" customHeight="1">
      <c r="A15" s="627"/>
      <c r="B15" s="198" t="s">
        <v>953</v>
      </c>
      <c r="C15" s="358">
        <f>'ｼｰﾄNO.3（表-3）59頁'!F39</f>
        <v>12</v>
      </c>
      <c r="D15" s="150">
        <f>'ｼｰﾄNO.3（表-3）59頁'!F30</f>
        <v>9</v>
      </c>
      <c r="E15" s="366">
        <v>65</v>
      </c>
      <c r="F15" s="366">
        <v>50</v>
      </c>
      <c r="G15" s="372">
        <v>7850</v>
      </c>
      <c r="H15" s="372">
        <v>4000</v>
      </c>
      <c r="I15" s="372">
        <v>12</v>
      </c>
      <c r="J15" s="377">
        <f t="shared" si="1"/>
        <v>25434</v>
      </c>
    </row>
    <row r="16" spans="1:15" ht="24.95" customHeight="1">
      <c r="A16" s="628"/>
      <c r="B16" s="198" t="s">
        <v>125</v>
      </c>
      <c r="C16" s="358">
        <f>SUM(C11:C15)</f>
        <v>74</v>
      </c>
      <c r="D16" s="83"/>
      <c r="E16" s="86"/>
      <c r="F16" s="86"/>
      <c r="G16" s="119"/>
      <c r="H16" s="119"/>
      <c r="I16" s="87"/>
      <c r="J16" s="360">
        <f>SUM(J11:J15)</f>
        <v>182277</v>
      </c>
    </row>
    <row r="17" spans="1:10">
      <c r="B17" s="75"/>
    </row>
    <row r="18" spans="1:10" ht="15" customHeight="1">
      <c r="A18" s="633" t="s">
        <v>656</v>
      </c>
      <c r="B18" s="633"/>
      <c r="C18" s="633"/>
      <c r="D18" s="633"/>
      <c r="E18" s="633"/>
      <c r="F18" s="633"/>
      <c r="G18" s="633"/>
      <c r="H18" s="633"/>
      <c r="I18" s="633"/>
      <c r="J18" s="633"/>
    </row>
    <row r="19" spans="1:10" ht="9" customHeight="1">
      <c r="A19" s="240"/>
      <c r="B19" s="240"/>
      <c r="C19" s="240"/>
      <c r="D19" s="240"/>
      <c r="E19" s="240"/>
      <c r="F19" s="240"/>
      <c r="G19" s="240"/>
      <c r="H19" s="240"/>
      <c r="I19" s="240"/>
      <c r="J19" s="240"/>
    </row>
    <row r="20" spans="1:10" ht="15" customHeight="1">
      <c r="A20" s="81" t="s">
        <v>657</v>
      </c>
      <c r="B20" s="75"/>
    </row>
    <row r="21" spans="1:10" ht="15" customHeight="1">
      <c r="A21" s="81" t="s">
        <v>658</v>
      </c>
      <c r="B21" s="75"/>
    </row>
    <row r="22" spans="1:10" ht="9" customHeight="1">
      <c r="B22" s="75"/>
    </row>
    <row r="23" spans="1:10" ht="15" customHeight="1">
      <c r="A23" s="633" t="s">
        <v>659</v>
      </c>
      <c r="B23" s="633"/>
      <c r="C23" s="633"/>
      <c r="D23" s="633"/>
      <c r="E23" s="633"/>
      <c r="F23" s="633"/>
      <c r="G23" s="633"/>
      <c r="H23" s="633"/>
      <c r="I23" s="633"/>
      <c r="J23" s="633"/>
    </row>
    <row r="24" spans="1:10">
      <c r="B24" s="75"/>
    </row>
    <row r="25" spans="1:10">
      <c r="B25" s="75"/>
    </row>
    <row r="26" spans="1:10">
      <c r="B26" s="75"/>
    </row>
    <row r="27" spans="1:10">
      <c r="B27" s="75"/>
    </row>
    <row r="28" spans="1:10">
      <c r="B28" s="75"/>
    </row>
    <row r="29" spans="1:10">
      <c r="B29" s="75"/>
    </row>
    <row r="30" spans="1:10">
      <c r="B30" s="75"/>
    </row>
    <row r="31" spans="1:10">
      <c r="B31" s="75"/>
    </row>
    <row r="32" spans="1:10">
      <c r="B32" s="75"/>
    </row>
    <row r="33" spans="1:10">
      <c r="A33" s="75"/>
      <c r="B33" s="75"/>
      <c r="C33" s="75"/>
      <c r="D33" s="75"/>
      <c r="E33" s="75"/>
      <c r="F33" s="75"/>
      <c r="J33" s="75"/>
    </row>
  </sheetData>
  <mergeCells count="7">
    <mergeCell ref="A6:B6"/>
    <mergeCell ref="B3:B5"/>
    <mergeCell ref="A3:A5"/>
    <mergeCell ref="A23:J23"/>
    <mergeCell ref="A18:J18"/>
    <mergeCell ref="A11:A16"/>
    <mergeCell ref="A7:A1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5" fitToWidth="0" fitToHeight="0" orientation="portrait" r:id="rId1"/>
  <colBreaks count="1" manualBreakCount="1">
    <brk id="10" max="1048575" man="1"/>
  </colBreaks>
  <ignoredErrors>
    <ignoredError sqref="J1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J1" sqref="J1"/>
    </sheetView>
  </sheetViews>
  <sheetFormatPr defaultColWidth="9" defaultRowHeight="13.5"/>
  <cols>
    <col min="1" max="1" width="8" style="81" customWidth="1"/>
    <col min="2" max="2" width="17" style="81" customWidth="1"/>
    <col min="3" max="3" width="7.5" style="81" customWidth="1"/>
    <col min="4" max="4" width="10" style="81" customWidth="1"/>
    <col min="5" max="6" width="9.25" style="81" customWidth="1"/>
    <col min="7" max="7" width="13.375" style="104" customWidth="1"/>
    <col min="8" max="8" width="13.875" style="116" customWidth="1"/>
    <col min="9" max="9" width="23" style="81" customWidth="1"/>
    <col min="10" max="11" width="9" style="81"/>
    <col min="12" max="12" width="13.25" style="81" bestFit="1" customWidth="1"/>
    <col min="13" max="16384" width="9" style="81"/>
  </cols>
  <sheetData>
    <row r="1" spans="1:12" ht="15.6" customHeight="1">
      <c r="A1" s="75" t="s">
        <v>660</v>
      </c>
      <c r="B1" s="75"/>
      <c r="C1" s="75"/>
      <c r="D1" s="75"/>
      <c r="E1" s="75"/>
      <c r="F1" s="75"/>
      <c r="I1" s="196"/>
    </row>
    <row r="2" spans="1:12" ht="15.6" customHeight="1">
      <c r="B2" s="75"/>
    </row>
    <row r="3" spans="1:12" s="82" customFormat="1" ht="31.9" customHeight="1">
      <c r="A3" s="632" t="s">
        <v>592</v>
      </c>
      <c r="B3" s="631" t="s">
        <v>560</v>
      </c>
      <c r="C3" s="235" t="s">
        <v>122</v>
      </c>
      <c r="D3" s="235" t="s">
        <v>121</v>
      </c>
      <c r="E3" s="235" t="s">
        <v>417</v>
      </c>
      <c r="F3" s="235" t="s">
        <v>466</v>
      </c>
      <c r="G3" s="106" t="s">
        <v>478</v>
      </c>
      <c r="H3" s="117" t="s">
        <v>567</v>
      </c>
      <c r="I3" s="212" t="s">
        <v>124</v>
      </c>
    </row>
    <row r="4" spans="1:12" s="82" customFormat="1" ht="19.149999999999999" customHeight="1">
      <c r="A4" s="632"/>
      <c r="B4" s="631"/>
      <c r="C4" s="88" t="s">
        <v>108</v>
      </c>
      <c r="D4" s="88" t="s">
        <v>564</v>
      </c>
      <c r="E4" s="88" t="s">
        <v>130</v>
      </c>
      <c r="F4" s="88" t="s">
        <v>130</v>
      </c>
      <c r="G4" s="108" t="s">
        <v>467</v>
      </c>
      <c r="H4" s="115" t="s">
        <v>463</v>
      </c>
      <c r="I4" s="88" t="s">
        <v>638</v>
      </c>
    </row>
    <row r="5" spans="1:12" s="82" customFormat="1" ht="36.6" customHeight="1">
      <c r="A5" s="632"/>
      <c r="B5" s="631"/>
      <c r="C5" s="246" t="s">
        <v>57</v>
      </c>
      <c r="D5" s="246" t="s">
        <v>60</v>
      </c>
      <c r="E5" s="246" t="s">
        <v>62</v>
      </c>
      <c r="F5" s="246" t="s">
        <v>70</v>
      </c>
      <c r="G5" s="112" t="s">
        <v>75</v>
      </c>
      <c r="H5" s="118" t="s">
        <v>78</v>
      </c>
      <c r="I5" s="239" t="s">
        <v>724</v>
      </c>
      <c r="L5" s="378"/>
    </row>
    <row r="6" spans="1:12" s="82" customFormat="1" ht="39.6" customHeight="1">
      <c r="A6" s="622" t="s">
        <v>311</v>
      </c>
      <c r="B6" s="623"/>
      <c r="C6" s="239" t="s">
        <v>762</v>
      </c>
      <c r="D6" s="239" t="s">
        <v>762</v>
      </c>
      <c r="E6" s="239" t="s">
        <v>662</v>
      </c>
      <c r="F6" s="239" t="s">
        <v>663</v>
      </c>
      <c r="G6" s="239" t="s">
        <v>664</v>
      </c>
      <c r="H6" s="118" t="s">
        <v>500</v>
      </c>
      <c r="I6" s="239" t="s">
        <v>499</v>
      </c>
    </row>
    <row r="7" spans="1:12" ht="42" customHeight="1">
      <c r="A7" s="626" t="s">
        <v>305</v>
      </c>
      <c r="B7" s="198" t="s">
        <v>947</v>
      </c>
      <c r="C7" s="358">
        <f>'ｼｰﾄNO.3（表-3）59頁'!F32</f>
        <v>11</v>
      </c>
      <c r="D7" s="150">
        <f>'ｼｰﾄNO.3（表-3）59頁'!F30</f>
        <v>9</v>
      </c>
      <c r="E7" s="366">
        <v>65</v>
      </c>
      <c r="F7" s="366">
        <v>50</v>
      </c>
      <c r="G7" s="372">
        <v>450</v>
      </c>
      <c r="H7" s="372">
        <v>12</v>
      </c>
      <c r="I7" s="99">
        <f>C7*(D7/24)*(E7-F7)*G7*12</f>
        <v>334125</v>
      </c>
    </row>
    <row r="8" spans="1:12" ht="44.45" customHeight="1">
      <c r="A8" s="627"/>
      <c r="B8" s="198" t="s">
        <v>948</v>
      </c>
      <c r="C8" s="358">
        <f>'ｼｰﾄNO.3（表-3）59頁'!F33</f>
        <v>18</v>
      </c>
      <c r="D8" s="150">
        <f>'ｼｰﾄNO.3（表-3）59頁'!F30</f>
        <v>9</v>
      </c>
      <c r="E8" s="366">
        <v>65</v>
      </c>
      <c r="F8" s="366">
        <v>50</v>
      </c>
      <c r="G8" s="372">
        <f>G7*2</f>
        <v>900</v>
      </c>
      <c r="H8" s="372">
        <v>12</v>
      </c>
      <c r="I8" s="99">
        <f t="shared" ref="I8:I9" si="0">C8*(D8/24)*(E8-F8)*G8*12</f>
        <v>1093500</v>
      </c>
    </row>
    <row r="9" spans="1:12" ht="42" customHeight="1">
      <c r="A9" s="627"/>
      <c r="B9" s="198" t="s">
        <v>949</v>
      </c>
      <c r="C9" s="358">
        <f>'ｼｰﾄNO.3（表-3）59頁'!F34</f>
        <v>38</v>
      </c>
      <c r="D9" s="150">
        <f>'ｼｰﾄNO.3（表-3）59頁'!F30</f>
        <v>9</v>
      </c>
      <c r="E9" s="366">
        <v>65</v>
      </c>
      <c r="F9" s="366">
        <v>50</v>
      </c>
      <c r="G9" s="372">
        <v>450</v>
      </c>
      <c r="H9" s="372">
        <v>12</v>
      </c>
      <c r="I9" s="377">
        <f t="shared" si="0"/>
        <v>1154250</v>
      </c>
    </row>
    <row r="10" spans="1:12" ht="24.95" customHeight="1">
      <c r="A10" s="628"/>
      <c r="B10" s="198" t="s">
        <v>125</v>
      </c>
      <c r="C10" s="358">
        <f>SUM(C7:C9)</f>
        <v>67</v>
      </c>
      <c r="D10" s="83"/>
      <c r="E10" s="86"/>
      <c r="F10" s="86"/>
      <c r="G10" s="119"/>
      <c r="H10" s="87"/>
      <c r="I10" s="365">
        <f>SUM(I7:I9)</f>
        <v>2581875</v>
      </c>
    </row>
    <row r="11" spans="1:12" ht="44.45" customHeight="1">
      <c r="A11" s="626" t="s">
        <v>306</v>
      </c>
      <c r="B11" s="198" t="s">
        <v>941</v>
      </c>
      <c r="C11" s="358">
        <f>'ｼｰﾄNO.3（表-3）59頁'!F35</f>
        <v>16</v>
      </c>
      <c r="D11" s="150">
        <f>'ｼｰﾄNO.3（表-3）59頁'!F30</f>
        <v>9</v>
      </c>
      <c r="E11" s="366">
        <v>65</v>
      </c>
      <c r="F11" s="366">
        <v>50</v>
      </c>
      <c r="G11" s="372">
        <v>450</v>
      </c>
      <c r="H11" s="372">
        <v>12</v>
      </c>
      <c r="I11" s="99">
        <f>C11*D11/24*(E11-F11)*G11*H11</f>
        <v>486000</v>
      </c>
    </row>
    <row r="12" spans="1:12" ht="58.9" customHeight="1">
      <c r="A12" s="627"/>
      <c r="B12" s="198" t="s">
        <v>950</v>
      </c>
      <c r="C12" s="358">
        <f>'ｼｰﾄNO.3（表-3）59頁'!F36</f>
        <v>12</v>
      </c>
      <c r="D12" s="150">
        <f>'ｼｰﾄNO.3（表-3）59頁'!F30</f>
        <v>9</v>
      </c>
      <c r="E12" s="366">
        <v>65</v>
      </c>
      <c r="F12" s="366">
        <v>50</v>
      </c>
      <c r="G12" s="372">
        <f>G11*2</f>
        <v>900</v>
      </c>
      <c r="H12" s="372">
        <v>12</v>
      </c>
      <c r="I12" s="99">
        <f t="shared" ref="I12:I15" si="1">C12*D12/24*(E12-F12)*G12*H12</f>
        <v>729000</v>
      </c>
    </row>
    <row r="13" spans="1:12" ht="44.45" customHeight="1">
      <c r="A13" s="627"/>
      <c r="B13" s="198" t="s">
        <v>951</v>
      </c>
      <c r="C13" s="358">
        <f>'ｼｰﾄNO.3（表-3）59頁'!F37</f>
        <v>16</v>
      </c>
      <c r="D13" s="150">
        <f>'ｼｰﾄNO.3（表-3）59頁'!F30</f>
        <v>9</v>
      </c>
      <c r="E13" s="366">
        <v>65</v>
      </c>
      <c r="F13" s="366">
        <v>50</v>
      </c>
      <c r="G13" s="372">
        <v>450</v>
      </c>
      <c r="H13" s="372">
        <v>12</v>
      </c>
      <c r="I13" s="99">
        <f t="shared" si="1"/>
        <v>486000</v>
      </c>
    </row>
    <row r="14" spans="1:12" ht="44.45" customHeight="1">
      <c r="A14" s="627"/>
      <c r="B14" s="198" t="s">
        <v>952</v>
      </c>
      <c r="C14" s="358">
        <f>'ｼｰﾄNO.3（表-3）59頁'!F38</f>
        <v>18</v>
      </c>
      <c r="D14" s="150">
        <f>'ｼｰﾄNO.3（表-3）59頁'!F30</f>
        <v>9</v>
      </c>
      <c r="E14" s="366">
        <v>65</v>
      </c>
      <c r="F14" s="366">
        <v>50</v>
      </c>
      <c r="G14" s="372">
        <v>450</v>
      </c>
      <c r="H14" s="372">
        <v>12</v>
      </c>
      <c r="I14" s="99">
        <f t="shared" si="1"/>
        <v>546750</v>
      </c>
    </row>
    <row r="15" spans="1:12" ht="44.45" customHeight="1">
      <c r="A15" s="627"/>
      <c r="B15" s="198" t="s">
        <v>953</v>
      </c>
      <c r="C15" s="358">
        <f>'ｼｰﾄNO.3（表-3）59頁'!F39</f>
        <v>12</v>
      </c>
      <c r="D15" s="150">
        <f>'ｼｰﾄNO.3（表-3）59頁'!F30</f>
        <v>9</v>
      </c>
      <c r="E15" s="366">
        <v>65</v>
      </c>
      <c r="F15" s="366">
        <v>50</v>
      </c>
      <c r="G15" s="372">
        <v>450</v>
      </c>
      <c r="H15" s="372">
        <v>12</v>
      </c>
      <c r="I15" s="377">
        <f t="shared" si="1"/>
        <v>364500</v>
      </c>
    </row>
    <row r="16" spans="1:12" ht="24.95" customHeight="1">
      <c r="A16" s="628"/>
      <c r="B16" s="198" t="s">
        <v>125</v>
      </c>
      <c r="C16" s="358">
        <f>SUM(C11:C15)</f>
        <v>74</v>
      </c>
      <c r="D16" s="83"/>
      <c r="E16" s="86"/>
      <c r="F16" s="86"/>
      <c r="G16" s="119"/>
      <c r="H16" s="87"/>
      <c r="I16" s="360">
        <f>SUM(I11:I15)</f>
        <v>2612250</v>
      </c>
    </row>
    <row r="17" spans="1:9">
      <c r="B17" s="75"/>
    </row>
    <row r="18" spans="1:9" ht="15" customHeight="1">
      <c r="A18" s="633" t="s">
        <v>665</v>
      </c>
      <c r="B18" s="633"/>
      <c r="C18" s="633"/>
      <c r="D18" s="633"/>
      <c r="E18" s="633"/>
      <c r="F18" s="633"/>
      <c r="G18" s="633"/>
      <c r="H18" s="633"/>
      <c r="I18" s="633"/>
    </row>
    <row r="19" spans="1:9" ht="9" customHeight="1">
      <c r="A19" s="240"/>
      <c r="B19" s="240"/>
      <c r="C19" s="240"/>
      <c r="D19" s="240"/>
      <c r="E19" s="240"/>
      <c r="F19" s="240"/>
      <c r="G19" s="240"/>
      <c r="H19" s="240"/>
      <c r="I19" s="240"/>
    </row>
    <row r="20" spans="1:9" ht="15" customHeight="1">
      <c r="A20" s="81" t="s">
        <v>666</v>
      </c>
      <c r="B20" s="75"/>
    </row>
    <row r="21" spans="1:9" ht="15" customHeight="1">
      <c r="A21" s="633" t="s">
        <v>661</v>
      </c>
      <c r="B21" s="633"/>
      <c r="C21" s="633"/>
      <c r="D21" s="633"/>
      <c r="E21" s="633"/>
      <c r="F21" s="633"/>
      <c r="G21" s="633"/>
      <c r="H21" s="633"/>
      <c r="I21" s="633"/>
    </row>
    <row r="22" spans="1:9" ht="15" customHeight="1">
      <c r="A22" s="81" t="s">
        <v>667</v>
      </c>
      <c r="B22" s="75"/>
    </row>
    <row r="23" spans="1:9">
      <c r="A23" s="633" t="s">
        <v>568</v>
      </c>
      <c r="B23" s="633"/>
      <c r="C23" s="633"/>
      <c r="D23" s="633"/>
      <c r="E23" s="633"/>
      <c r="F23" s="633"/>
      <c r="G23" s="633"/>
      <c r="H23" s="633"/>
    </row>
    <row r="24" spans="1:9">
      <c r="B24" s="75"/>
    </row>
  </sheetData>
  <mergeCells count="8">
    <mergeCell ref="B3:B5"/>
    <mergeCell ref="A3:A5"/>
    <mergeCell ref="A6:B6"/>
    <mergeCell ref="A23:H23"/>
    <mergeCell ref="A21:I21"/>
    <mergeCell ref="A18:I18"/>
    <mergeCell ref="A7:A10"/>
    <mergeCell ref="A11:A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J1" sqref="J1"/>
    </sheetView>
  </sheetViews>
  <sheetFormatPr defaultColWidth="9" defaultRowHeight="13.5"/>
  <cols>
    <col min="1" max="1" width="8.125" style="75" customWidth="1"/>
    <col min="2" max="2" width="17" style="75" customWidth="1"/>
    <col min="3" max="3" width="7.5" style="75" customWidth="1"/>
    <col min="4" max="4" width="10" style="75" customWidth="1"/>
    <col min="5" max="6" width="9.25" style="75" customWidth="1"/>
    <col min="7" max="7" width="9.75" style="104" customWidth="1"/>
    <col min="8" max="8" width="15.25" style="116" customWidth="1"/>
    <col min="9" max="9" width="24.625" style="75" customWidth="1"/>
    <col min="10" max="16384" width="9" style="75"/>
  </cols>
  <sheetData>
    <row r="1" spans="1:9" ht="15.6" customHeight="1">
      <c r="A1" s="75" t="s">
        <v>866</v>
      </c>
      <c r="I1" s="196"/>
    </row>
    <row r="2" spans="1:9" ht="15.6" customHeight="1">
      <c r="G2" s="120"/>
      <c r="H2" s="121"/>
    </row>
    <row r="3" spans="1:9" s="82" customFormat="1" ht="31.9" customHeight="1">
      <c r="A3" s="649" t="s">
        <v>592</v>
      </c>
      <c r="B3" s="631" t="s">
        <v>560</v>
      </c>
      <c r="C3" s="235" t="s">
        <v>122</v>
      </c>
      <c r="D3" s="235" t="s">
        <v>121</v>
      </c>
      <c r="E3" s="235" t="s">
        <v>418</v>
      </c>
      <c r="F3" s="235" t="s">
        <v>469</v>
      </c>
      <c r="G3" s="106" t="s">
        <v>475</v>
      </c>
      <c r="H3" s="117" t="s">
        <v>468</v>
      </c>
      <c r="I3" s="212" t="s">
        <v>124</v>
      </c>
    </row>
    <row r="4" spans="1:9" s="82" customFormat="1" ht="19.149999999999999" customHeight="1">
      <c r="A4" s="632"/>
      <c r="B4" s="631"/>
      <c r="C4" s="88" t="s">
        <v>108</v>
      </c>
      <c r="D4" s="88" t="s">
        <v>564</v>
      </c>
      <c r="E4" s="88" t="s">
        <v>130</v>
      </c>
      <c r="F4" s="88" t="s">
        <v>130</v>
      </c>
      <c r="G4" s="108" t="s">
        <v>171</v>
      </c>
      <c r="H4" s="115" t="s">
        <v>463</v>
      </c>
      <c r="I4" s="88" t="s">
        <v>443</v>
      </c>
    </row>
    <row r="5" spans="1:9" s="82" customFormat="1" ht="36.6" customHeight="1">
      <c r="A5" s="632"/>
      <c r="B5" s="631"/>
      <c r="C5" s="246" t="s">
        <v>57</v>
      </c>
      <c r="D5" s="246" t="s">
        <v>60</v>
      </c>
      <c r="E5" s="246" t="s">
        <v>62</v>
      </c>
      <c r="F5" s="246" t="s">
        <v>70</v>
      </c>
      <c r="G5" s="110" t="s">
        <v>75</v>
      </c>
      <c r="H5" s="118" t="s">
        <v>78</v>
      </c>
      <c r="I5" s="239" t="s">
        <v>725</v>
      </c>
    </row>
    <row r="6" spans="1:9" s="82" customFormat="1" ht="39.6" customHeight="1">
      <c r="A6" s="622" t="s">
        <v>569</v>
      </c>
      <c r="B6" s="623"/>
      <c r="C6" s="239" t="s">
        <v>754</v>
      </c>
      <c r="D6" s="239" t="s">
        <v>761</v>
      </c>
      <c r="E6" s="239" t="s">
        <v>662</v>
      </c>
      <c r="F6" s="239" t="s">
        <v>663</v>
      </c>
      <c r="G6" s="239" t="s">
        <v>664</v>
      </c>
      <c r="H6" s="118" t="s">
        <v>570</v>
      </c>
      <c r="I6" s="239" t="s">
        <v>499</v>
      </c>
    </row>
    <row r="7" spans="1:9" ht="42" customHeight="1">
      <c r="A7" s="626" t="s">
        <v>305</v>
      </c>
      <c r="B7" s="198" t="s">
        <v>947</v>
      </c>
      <c r="C7" s="358">
        <f>'ｼｰﾄNO.3（表-3）59頁'!F32</f>
        <v>11</v>
      </c>
      <c r="D7" s="150">
        <f>'ｼｰﾄNO.3（表-3）59頁'!F30</f>
        <v>9</v>
      </c>
      <c r="E7" s="366">
        <v>65</v>
      </c>
      <c r="F7" s="366">
        <v>50</v>
      </c>
      <c r="G7" s="372">
        <v>400</v>
      </c>
      <c r="H7" s="372">
        <v>12</v>
      </c>
      <c r="I7" s="99">
        <f>C7*(D7/24)*(E7-F7)*G7*H7</f>
        <v>297000</v>
      </c>
    </row>
    <row r="8" spans="1:9" ht="44.45" customHeight="1">
      <c r="A8" s="627"/>
      <c r="B8" s="198" t="s">
        <v>948</v>
      </c>
      <c r="C8" s="358">
        <f>'ｼｰﾄNO.3（表-3）59頁'!F33</f>
        <v>18</v>
      </c>
      <c r="D8" s="150">
        <f>'ｼｰﾄNO.3（表-3）59頁'!F30</f>
        <v>9</v>
      </c>
      <c r="E8" s="366">
        <v>65</v>
      </c>
      <c r="F8" s="366">
        <v>50</v>
      </c>
      <c r="G8" s="372">
        <f>G7*2</f>
        <v>800</v>
      </c>
      <c r="H8" s="372">
        <v>12</v>
      </c>
      <c r="I8" s="99">
        <f t="shared" ref="I8:I9" si="0">C8*D8/24*(E8-F8)*G8*H8</f>
        <v>972000</v>
      </c>
    </row>
    <row r="9" spans="1:9" ht="42" customHeight="1">
      <c r="A9" s="627"/>
      <c r="B9" s="198" t="s">
        <v>949</v>
      </c>
      <c r="C9" s="358">
        <f>'ｼｰﾄNO.3（表-3）59頁'!F34</f>
        <v>38</v>
      </c>
      <c r="D9" s="150">
        <f>'ｼｰﾄNO.3（表-3）59頁'!F30</f>
        <v>9</v>
      </c>
      <c r="E9" s="366">
        <v>65</v>
      </c>
      <c r="F9" s="366">
        <v>50</v>
      </c>
      <c r="G9" s="372">
        <v>400</v>
      </c>
      <c r="H9" s="372">
        <v>12</v>
      </c>
      <c r="I9" s="377">
        <f t="shared" si="0"/>
        <v>1026000</v>
      </c>
    </row>
    <row r="10" spans="1:9" ht="24.95" customHeight="1">
      <c r="A10" s="628"/>
      <c r="B10" s="198" t="s">
        <v>125</v>
      </c>
      <c r="C10" s="358">
        <f>SUM(C7:C9)</f>
        <v>67</v>
      </c>
      <c r="D10" s="83"/>
      <c r="E10" s="86"/>
      <c r="F10" s="86"/>
      <c r="G10" s="119"/>
      <c r="H10" s="87"/>
      <c r="I10" s="365">
        <f>SUM(I7:I9)</f>
        <v>2295000</v>
      </c>
    </row>
    <row r="11" spans="1:9" ht="44.45" customHeight="1">
      <c r="A11" s="626" t="s">
        <v>306</v>
      </c>
      <c r="B11" s="198" t="s">
        <v>941</v>
      </c>
      <c r="C11" s="358">
        <f>'ｼｰﾄNO.3（表-3）59頁'!F35</f>
        <v>16</v>
      </c>
      <c r="D11" s="150">
        <f>'ｼｰﾄNO.3（表-3）59頁'!F30</f>
        <v>9</v>
      </c>
      <c r="E11" s="366">
        <v>65</v>
      </c>
      <c r="F11" s="366">
        <v>50</v>
      </c>
      <c r="G11" s="372">
        <v>400</v>
      </c>
      <c r="H11" s="372">
        <v>12</v>
      </c>
      <c r="I11" s="99">
        <f t="shared" ref="I11:I15" si="1">C11*D11/24*(E11-F11)*G11*H11</f>
        <v>432000</v>
      </c>
    </row>
    <row r="12" spans="1:9" ht="58.9" customHeight="1">
      <c r="A12" s="627"/>
      <c r="B12" s="198" t="s">
        <v>950</v>
      </c>
      <c r="C12" s="358">
        <f>'ｼｰﾄNO.3（表-3）59頁'!F36</f>
        <v>12</v>
      </c>
      <c r="D12" s="150">
        <f>'ｼｰﾄNO.3（表-3）59頁'!F30</f>
        <v>9</v>
      </c>
      <c r="E12" s="366">
        <v>65</v>
      </c>
      <c r="F12" s="366">
        <v>50</v>
      </c>
      <c r="G12" s="372">
        <f>G11*2</f>
        <v>800</v>
      </c>
      <c r="H12" s="372">
        <v>12</v>
      </c>
      <c r="I12" s="99">
        <f t="shared" si="1"/>
        <v>648000</v>
      </c>
    </row>
    <row r="13" spans="1:9" ht="44.45" customHeight="1">
      <c r="A13" s="627"/>
      <c r="B13" s="198" t="s">
        <v>951</v>
      </c>
      <c r="C13" s="358">
        <f>'ｼｰﾄNO.3（表-3）59頁'!F37</f>
        <v>16</v>
      </c>
      <c r="D13" s="150">
        <f>'ｼｰﾄNO.3（表-3）59頁'!F30</f>
        <v>9</v>
      </c>
      <c r="E13" s="366">
        <v>65</v>
      </c>
      <c r="F13" s="366">
        <v>50</v>
      </c>
      <c r="G13" s="372">
        <v>400</v>
      </c>
      <c r="H13" s="372">
        <v>12</v>
      </c>
      <c r="I13" s="99">
        <f t="shared" si="1"/>
        <v>432000</v>
      </c>
    </row>
    <row r="14" spans="1:9" ht="44.45" customHeight="1">
      <c r="A14" s="627"/>
      <c r="B14" s="198" t="s">
        <v>952</v>
      </c>
      <c r="C14" s="358">
        <f>'ｼｰﾄNO.3（表-3）59頁'!F38</f>
        <v>18</v>
      </c>
      <c r="D14" s="150">
        <f>'ｼｰﾄNO.3（表-3）59頁'!F30</f>
        <v>9</v>
      </c>
      <c r="E14" s="366">
        <v>65</v>
      </c>
      <c r="F14" s="366">
        <v>50</v>
      </c>
      <c r="G14" s="372">
        <v>400</v>
      </c>
      <c r="H14" s="372">
        <v>12</v>
      </c>
      <c r="I14" s="99">
        <f t="shared" si="1"/>
        <v>486000</v>
      </c>
    </row>
    <row r="15" spans="1:9" ht="44.45" customHeight="1">
      <c r="A15" s="627"/>
      <c r="B15" s="198" t="s">
        <v>953</v>
      </c>
      <c r="C15" s="358">
        <f>'ｼｰﾄNO.3（表-3）59頁'!F39</f>
        <v>12</v>
      </c>
      <c r="D15" s="150">
        <f>'ｼｰﾄNO.3（表-3）59頁'!F30</f>
        <v>9</v>
      </c>
      <c r="E15" s="366">
        <v>65</v>
      </c>
      <c r="F15" s="366">
        <v>50</v>
      </c>
      <c r="G15" s="372">
        <v>400</v>
      </c>
      <c r="H15" s="372">
        <v>12</v>
      </c>
      <c r="I15" s="377">
        <f t="shared" si="1"/>
        <v>324000</v>
      </c>
    </row>
    <row r="16" spans="1:9" ht="24.95" customHeight="1">
      <c r="A16" s="628"/>
      <c r="B16" s="198" t="s">
        <v>125</v>
      </c>
      <c r="C16" s="358">
        <f>SUM(C11:C15)</f>
        <v>74</v>
      </c>
      <c r="D16" s="83"/>
      <c r="E16" s="86"/>
      <c r="F16" s="86"/>
      <c r="G16" s="119"/>
      <c r="H16" s="87"/>
      <c r="I16" s="360">
        <f>SUM(I11:I15)</f>
        <v>2322000</v>
      </c>
    </row>
    <row r="17" spans="1:9">
      <c r="G17" s="120"/>
      <c r="H17" s="121"/>
    </row>
    <row r="18" spans="1:9" ht="15" customHeight="1">
      <c r="A18" s="633" t="s">
        <v>665</v>
      </c>
      <c r="B18" s="633"/>
      <c r="C18" s="633"/>
      <c r="D18" s="633"/>
      <c r="E18" s="633"/>
      <c r="F18" s="633"/>
      <c r="G18" s="633"/>
      <c r="H18" s="633"/>
      <c r="I18" s="633"/>
    </row>
    <row r="19" spans="1:9" ht="9" customHeight="1">
      <c r="A19" s="240"/>
      <c r="B19" s="240"/>
      <c r="C19" s="240"/>
      <c r="D19" s="240"/>
      <c r="E19" s="240"/>
      <c r="F19" s="240"/>
      <c r="G19" s="240"/>
      <c r="H19" s="240"/>
      <c r="I19" s="240"/>
    </row>
    <row r="20" spans="1:9" ht="15" customHeight="1">
      <c r="A20" s="81" t="s">
        <v>668</v>
      </c>
      <c r="G20" s="120"/>
      <c r="H20" s="121"/>
    </row>
    <row r="21" spans="1:9" ht="15" customHeight="1">
      <c r="A21" s="633" t="s">
        <v>571</v>
      </c>
      <c r="B21" s="633"/>
      <c r="C21" s="633"/>
      <c r="D21" s="633"/>
      <c r="E21" s="633"/>
      <c r="F21" s="633"/>
      <c r="G21" s="633"/>
      <c r="H21" s="633"/>
      <c r="I21" s="633"/>
    </row>
    <row r="22" spans="1:9" ht="15" customHeight="1">
      <c r="A22" s="240" t="s">
        <v>669</v>
      </c>
      <c r="B22" s="240"/>
      <c r="C22" s="240"/>
      <c r="D22" s="240"/>
      <c r="E22" s="240"/>
      <c r="F22" s="240"/>
      <c r="G22" s="240"/>
      <c r="H22" s="123"/>
      <c r="I22" s="240"/>
    </row>
    <row r="23" spans="1:9">
      <c r="G23" s="120"/>
      <c r="H23" s="121"/>
    </row>
    <row r="24" spans="1:9">
      <c r="G24" s="120"/>
      <c r="H24" s="121"/>
    </row>
  </sheetData>
  <mergeCells count="7">
    <mergeCell ref="A3:A5"/>
    <mergeCell ref="B3:B5"/>
    <mergeCell ref="A21:I21"/>
    <mergeCell ref="A18:I18"/>
    <mergeCell ref="A7:A10"/>
    <mergeCell ref="A11:A16"/>
    <mergeCell ref="A6:B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fitToWidth="0" fitToHeight="0" orientation="portrait" r:id="rId1"/>
  <ignoredErrors>
    <ignoredError sqref="I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K1" sqref="K1"/>
    </sheetView>
  </sheetViews>
  <sheetFormatPr defaultColWidth="9" defaultRowHeight="13.5"/>
  <cols>
    <col min="1" max="1" width="8" style="75" customWidth="1"/>
    <col min="2" max="2" width="17" style="81" customWidth="1"/>
    <col min="3" max="3" width="7.5" style="75" customWidth="1"/>
    <col min="4" max="4" width="10" style="75" customWidth="1"/>
    <col min="5" max="6" width="9.25" style="75" customWidth="1"/>
    <col min="7" max="7" width="11.625" style="120" customWidth="1"/>
    <col min="8" max="8" width="9.5" style="120" customWidth="1"/>
    <col min="9" max="9" width="13.875" style="124" customWidth="1"/>
    <col min="10" max="10" width="22.875" style="75" customWidth="1"/>
    <col min="11" max="16384" width="9" style="75"/>
  </cols>
  <sheetData>
    <row r="1" spans="1:10" s="379" customFormat="1" ht="15.6" customHeight="1">
      <c r="A1" s="186" t="s">
        <v>670</v>
      </c>
      <c r="B1" s="131"/>
      <c r="C1" s="131"/>
      <c r="D1" s="131"/>
      <c r="E1" s="131"/>
      <c r="F1" s="131"/>
      <c r="G1" s="131"/>
      <c r="H1" s="131"/>
      <c r="I1" s="131"/>
      <c r="J1" s="196"/>
    </row>
    <row r="2" spans="1:10" ht="15.6" customHeight="1"/>
    <row r="3" spans="1:10" s="247" customFormat="1" ht="31.9" customHeight="1">
      <c r="A3" s="649" t="s">
        <v>592</v>
      </c>
      <c r="B3" s="656" t="s">
        <v>560</v>
      </c>
      <c r="C3" s="242" t="s">
        <v>122</v>
      </c>
      <c r="D3" s="235" t="s">
        <v>121</v>
      </c>
      <c r="E3" s="235" t="s">
        <v>488</v>
      </c>
      <c r="F3" s="235" t="s">
        <v>489</v>
      </c>
      <c r="G3" s="106" t="s">
        <v>132</v>
      </c>
      <c r="H3" s="106" t="s">
        <v>477</v>
      </c>
      <c r="I3" s="107" t="s">
        <v>420</v>
      </c>
      <c r="J3" s="212" t="s">
        <v>124</v>
      </c>
    </row>
    <row r="4" spans="1:10" s="247" customFormat="1" ht="19.149999999999999" customHeight="1">
      <c r="A4" s="632"/>
      <c r="B4" s="656"/>
      <c r="C4" s="88" t="s">
        <v>108</v>
      </c>
      <c r="D4" s="88" t="s">
        <v>564</v>
      </c>
      <c r="E4" s="88" t="s">
        <v>130</v>
      </c>
      <c r="F4" s="88" t="s">
        <v>130</v>
      </c>
      <c r="G4" s="108" t="s">
        <v>131</v>
      </c>
      <c r="H4" s="108" t="s">
        <v>134</v>
      </c>
      <c r="I4" s="109" t="s">
        <v>444</v>
      </c>
      <c r="J4" s="88" t="s">
        <v>638</v>
      </c>
    </row>
    <row r="5" spans="1:10" s="247" customFormat="1" ht="36.6" customHeight="1">
      <c r="A5" s="632"/>
      <c r="B5" s="656"/>
      <c r="C5" s="246" t="s">
        <v>57</v>
      </c>
      <c r="D5" s="246" t="s">
        <v>60</v>
      </c>
      <c r="E5" s="246" t="s">
        <v>62</v>
      </c>
      <c r="F5" s="246" t="s">
        <v>70</v>
      </c>
      <c r="G5" s="110" t="s">
        <v>75</v>
      </c>
      <c r="H5" s="110" t="s">
        <v>78</v>
      </c>
      <c r="I5" s="111" t="s">
        <v>79</v>
      </c>
      <c r="J5" s="239" t="s">
        <v>726</v>
      </c>
    </row>
    <row r="6" spans="1:10" s="247" customFormat="1" ht="39.6" customHeight="1">
      <c r="A6" s="635" t="s">
        <v>311</v>
      </c>
      <c r="B6" s="636"/>
      <c r="C6" s="239" t="s">
        <v>754</v>
      </c>
      <c r="D6" s="239" t="s">
        <v>763</v>
      </c>
      <c r="E6" s="239" t="s">
        <v>671</v>
      </c>
      <c r="F6" s="239" t="s">
        <v>632</v>
      </c>
      <c r="G6" s="239" t="s">
        <v>672</v>
      </c>
      <c r="H6" s="239" t="s">
        <v>673</v>
      </c>
      <c r="I6" s="111" t="s">
        <v>572</v>
      </c>
      <c r="J6" s="239" t="s">
        <v>501</v>
      </c>
    </row>
    <row r="7" spans="1:10" ht="42" customHeight="1">
      <c r="A7" s="639" t="s">
        <v>305</v>
      </c>
      <c r="B7" s="198" t="s">
        <v>947</v>
      </c>
      <c r="C7" s="361">
        <f>'ｼｰﾄNO.3（表-3）59頁'!F32</f>
        <v>11</v>
      </c>
      <c r="D7" s="380">
        <f>'ｼｰﾄNO.3（表-3）59頁'!F30</f>
        <v>9</v>
      </c>
      <c r="E7" s="383">
        <v>70</v>
      </c>
      <c r="F7" s="383">
        <v>55</v>
      </c>
      <c r="G7" s="384">
        <f>20*20*3.14</f>
        <v>1256</v>
      </c>
      <c r="H7" s="384">
        <v>4000</v>
      </c>
      <c r="I7" s="384">
        <v>9</v>
      </c>
      <c r="J7" s="381">
        <f>C7*D7/24*(E7-F7)*G7*0.000001*H7*I7</f>
        <v>2797.74</v>
      </c>
    </row>
    <row r="8" spans="1:10" ht="44.45" customHeight="1">
      <c r="A8" s="640"/>
      <c r="B8" s="198" t="s">
        <v>948</v>
      </c>
      <c r="C8" s="361">
        <f>'ｼｰﾄNO.3（表-3）59頁'!F33</f>
        <v>18</v>
      </c>
      <c r="D8" s="380">
        <f>'ｼｰﾄNO.3（表-3）59頁'!F30</f>
        <v>9</v>
      </c>
      <c r="E8" s="383">
        <v>70</v>
      </c>
      <c r="F8" s="383">
        <v>55</v>
      </c>
      <c r="G8" s="384">
        <f>20*20*3.14*2</f>
        <v>2512</v>
      </c>
      <c r="H8" s="384">
        <v>4000</v>
      </c>
      <c r="I8" s="384">
        <v>9</v>
      </c>
      <c r="J8" s="381">
        <f t="shared" ref="J8:J9" si="0">C8*D8/24*(E8-F8)*G8*0.000001*H8*I8</f>
        <v>9156.24</v>
      </c>
    </row>
    <row r="9" spans="1:10" ht="42" customHeight="1">
      <c r="A9" s="640"/>
      <c r="B9" s="198" t="s">
        <v>949</v>
      </c>
      <c r="C9" s="361">
        <f>'ｼｰﾄNO.3（表-3）59頁'!F34</f>
        <v>38</v>
      </c>
      <c r="D9" s="380">
        <f>'ｼｰﾄNO.3（表-3）59頁'!F30</f>
        <v>9</v>
      </c>
      <c r="E9" s="383">
        <v>70</v>
      </c>
      <c r="F9" s="383">
        <v>55</v>
      </c>
      <c r="G9" s="384">
        <f>20*20*3.14</f>
        <v>1256</v>
      </c>
      <c r="H9" s="384">
        <v>4000</v>
      </c>
      <c r="I9" s="384">
        <v>9</v>
      </c>
      <c r="J9" s="382">
        <f t="shared" si="0"/>
        <v>9664.9199999999983</v>
      </c>
    </row>
    <row r="10" spans="1:10" ht="31.5" customHeight="1">
      <c r="A10" s="641"/>
      <c r="B10" s="198" t="s">
        <v>125</v>
      </c>
      <c r="C10" s="361">
        <f>SUM(C7:C9)</f>
        <v>67</v>
      </c>
      <c r="D10" s="77"/>
      <c r="E10" s="79"/>
      <c r="F10" s="79"/>
      <c r="G10" s="122"/>
      <c r="H10" s="122"/>
      <c r="I10" s="125"/>
      <c r="J10" s="365">
        <f>SUM(J7:J9)</f>
        <v>21618.899999999998</v>
      </c>
    </row>
    <row r="11" spans="1:10" ht="44.45" customHeight="1">
      <c r="A11" s="639" t="s">
        <v>306</v>
      </c>
      <c r="B11" s="198" t="s">
        <v>941</v>
      </c>
      <c r="C11" s="361">
        <f>'ｼｰﾄNO.3（表-3）59頁'!F35</f>
        <v>16</v>
      </c>
      <c r="D11" s="380">
        <f>'ｼｰﾄNO.3（表-3）59頁'!F30</f>
        <v>9</v>
      </c>
      <c r="E11" s="383">
        <v>70</v>
      </c>
      <c r="F11" s="383">
        <v>55</v>
      </c>
      <c r="G11" s="384">
        <f>20*20*3.14</f>
        <v>1256</v>
      </c>
      <c r="H11" s="384">
        <v>4000</v>
      </c>
      <c r="I11" s="384">
        <v>9</v>
      </c>
      <c r="J11" s="381">
        <f t="shared" ref="J11:J15" si="1">C11*D11/24*(E11-F11)*G11*0.000001*H11*I11</f>
        <v>4069.44</v>
      </c>
    </row>
    <row r="12" spans="1:10" ht="58.9" customHeight="1">
      <c r="A12" s="640"/>
      <c r="B12" s="198" t="s">
        <v>950</v>
      </c>
      <c r="C12" s="361">
        <f>'ｼｰﾄNO.3（表-3）59頁'!F36</f>
        <v>12</v>
      </c>
      <c r="D12" s="380">
        <f>'ｼｰﾄNO.3（表-3）59頁'!F30</f>
        <v>9</v>
      </c>
      <c r="E12" s="383">
        <v>70</v>
      </c>
      <c r="F12" s="383">
        <v>55</v>
      </c>
      <c r="G12" s="384">
        <f>20*20*3.14*2</f>
        <v>2512</v>
      </c>
      <c r="H12" s="384">
        <v>4000</v>
      </c>
      <c r="I12" s="384">
        <v>9</v>
      </c>
      <c r="J12" s="381">
        <f t="shared" si="1"/>
        <v>6104.16</v>
      </c>
    </row>
    <row r="13" spans="1:10" ht="44.45" customHeight="1">
      <c r="A13" s="640"/>
      <c r="B13" s="198" t="s">
        <v>951</v>
      </c>
      <c r="C13" s="361">
        <f>'ｼｰﾄNO.3（表-3）59頁'!F37</f>
        <v>16</v>
      </c>
      <c r="D13" s="380">
        <f>'ｼｰﾄNO.3（表-3）59頁'!F30</f>
        <v>9</v>
      </c>
      <c r="E13" s="383">
        <v>70</v>
      </c>
      <c r="F13" s="383">
        <v>55</v>
      </c>
      <c r="G13" s="384">
        <f t="shared" ref="G13:G15" si="2">20*20*3.14</f>
        <v>1256</v>
      </c>
      <c r="H13" s="384">
        <v>4000</v>
      </c>
      <c r="I13" s="384">
        <v>9</v>
      </c>
      <c r="J13" s="381">
        <f t="shared" si="1"/>
        <v>4069.44</v>
      </c>
    </row>
    <row r="14" spans="1:10" ht="44.45" customHeight="1">
      <c r="A14" s="640"/>
      <c r="B14" s="198" t="s">
        <v>952</v>
      </c>
      <c r="C14" s="361">
        <f>'ｼｰﾄNO.3（表-3）59頁'!F38</f>
        <v>18</v>
      </c>
      <c r="D14" s="380">
        <f>'ｼｰﾄNO.3（表-3）59頁'!F30</f>
        <v>9</v>
      </c>
      <c r="E14" s="383">
        <v>70</v>
      </c>
      <c r="F14" s="383">
        <v>55</v>
      </c>
      <c r="G14" s="384">
        <f t="shared" si="2"/>
        <v>1256</v>
      </c>
      <c r="H14" s="384">
        <v>4000</v>
      </c>
      <c r="I14" s="384">
        <v>9</v>
      </c>
      <c r="J14" s="381">
        <f t="shared" si="1"/>
        <v>4578.12</v>
      </c>
    </row>
    <row r="15" spans="1:10" ht="44.45" customHeight="1">
      <c r="A15" s="640"/>
      <c r="B15" s="198" t="s">
        <v>953</v>
      </c>
      <c r="C15" s="361">
        <f>'ｼｰﾄNO.3（表-3）59頁'!F39</f>
        <v>12</v>
      </c>
      <c r="D15" s="380">
        <f>'ｼｰﾄNO.3（表-3）59頁'!F30</f>
        <v>9</v>
      </c>
      <c r="E15" s="385">
        <v>70</v>
      </c>
      <c r="F15" s="385">
        <v>55</v>
      </c>
      <c r="G15" s="386">
        <f t="shared" si="2"/>
        <v>1256</v>
      </c>
      <c r="H15" s="386">
        <v>4000</v>
      </c>
      <c r="I15" s="386">
        <v>9</v>
      </c>
      <c r="J15" s="382">
        <f t="shared" si="1"/>
        <v>3052.08</v>
      </c>
    </row>
    <row r="16" spans="1:10" ht="28.5" customHeight="1">
      <c r="A16" s="641"/>
      <c r="B16" s="198" t="s">
        <v>125</v>
      </c>
      <c r="C16" s="361">
        <f>SUM(C11:C15)</f>
        <v>74</v>
      </c>
      <c r="D16" s="126"/>
      <c r="E16" s="127"/>
      <c r="F16" s="127"/>
      <c r="G16" s="128"/>
      <c r="H16" s="128"/>
      <c r="I16" s="129"/>
      <c r="J16" s="360">
        <f>SUM(J11:J15)</f>
        <v>21873.239999999998</v>
      </c>
    </row>
    <row r="18" spans="1:10" ht="15" customHeight="1">
      <c r="A18" s="633" t="s">
        <v>674</v>
      </c>
      <c r="B18" s="633"/>
      <c r="C18" s="633"/>
      <c r="D18" s="633"/>
      <c r="E18" s="633"/>
      <c r="F18" s="633"/>
      <c r="G18" s="633"/>
      <c r="H18" s="633"/>
      <c r="I18" s="633"/>
    </row>
    <row r="19" spans="1:10" ht="9" customHeight="1">
      <c r="A19" s="240"/>
      <c r="B19" s="240"/>
      <c r="C19" s="240"/>
      <c r="D19" s="240"/>
      <c r="E19" s="240"/>
      <c r="F19" s="240"/>
      <c r="G19" s="240"/>
      <c r="H19" s="240"/>
      <c r="I19" s="240"/>
    </row>
    <row r="20" spans="1:10" ht="15" customHeight="1">
      <c r="A20" s="633" t="s">
        <v>675</v>
      </c>
      <c r="B20" s="634"/>
      <c r="C20" s="634"/>
      <c r="D20" s="634"/>
      <c r="E20" s="634"/>
      <c r="F20" s="634"/>
      <c r="G20" s="634"/>
      <c r="H20" s="634"/>
      <c r="I20" s="634"/>
    </row>
    <row r="21" spans="1:10" ht="15" customHeight="1">
      <c r="A21" s="75" t="s">
        <v>676</v>
      </c>
      <c r="G21" s="121"/>
    </row>
    <row r="22" spans="1:10" ht="9" customHeight="1"/>
    <row r="23" spans="1:10" ht="15" customHeight="1">
      <c r="A23" s="633" t="s">
        <v>677</v>
      </c>
      <c r="B23" s="633"/>
      <c r="C23" s="633"/>
      <c r="D23" s="633"/>
      <c r="E23" s="633"/>
      <c r="F23" s="633"/>
      <c r="G23" s="633"/>
      <c r="H23" s="633"/>
      <c r="I23" s="633"/>
      <c r="J23" s="633"/>
    </row>
    <row r="24" spans="1:10">
      <c r="E24" s="657"/>
      <c r="F24" s="657"/>
      <c r="G24" s="657"/>
      <c r="H24" s="657"/>
      <c r="I24" s="657"/>
      <c r="J24" s="657"/>
    </row>
  </sheetData>
  <mergeCells count="9">
    <mergeCell ref="B3:B5"/>
    <mergeCell ref="A3:A5"/>
    <mergeCell ref="E24:J24"/>
    <mergeCell ref="A23:J23"/>
    <mergeCell ref="A7:A10"/>
    <mergeCell ref="A11:A16"/>
    <mergeCell ref="A6:B6"/>
    <mergeCell ref="A18:I18"/>
    <mergeCell ref="A20:I20"/>
  </mergeCells>
  <phoneticPr fontId="3"/>
  <printOptions horizontalCentered="1"/>
  <pageMargins left="0.23622047244094491" right="0.23622047244094491" top="0.94488188976377963" bottom="0.74803149606299213" header="0.31496062992125984" footer="0.31496062992125984"/>
  <pageSetup paperSize="9" scale="84" fitToWidth="0" fitToHeight="0" orientation="portrait" r:id="rId1"/>
  <ignoredErrors>
    <ignoredError sqref="G12 J10 G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J1" sqref="J1"/>
    </sheetView>
  </sheetViews>
  <sheetFormatPr defaultColWidth="9" defaultRowHeight="13.5"/>
  <cols>
    <col min="1" max="1" width="7.125" style="75" bestFit="1" customWidth="1"/>
    <col min="2" max="2" width="17" style="75" customWidth="1"/>
    <col min="3" max="3" width="7.5" style="75" customWidth="1"/>
    <col min="4" max="4" width="10" style="75" customWidth="1"/>
    <col min="5" max="6" width="9.25" style="75" customWidth="1"/>
    <col min="7" max="7" width="11.125" style="104" customWidth="1"/>
    <col min="8" max="8" width="13.75" style="105" customWidth="1"/>
    <col min="9" max="9" width="24.25" style="75" customWidth="1"/>
    <col min="10" max="16384" width="9" style="75"/>
  </cols>
  <sheetData>
    <row r="1" spans="1:9" ht="15.6" customHeight="1">
      <c r="A1" s="75" t="s">
        <v>679</v>
      </c>
      <c r="I1" s="196"/>
    </row>
    <row r="2" spans="1:9" ht="15.6" customHeight="1"/>
    <row r="3" spans="1:9" s="82" customFormat="1" ht="31.9" customHeight="1">
      <c r="A3" s="632" t="s">
        <v>592</v>
      </c>
      <c r="B3" s="631" t="s">
        <v>560</v>
      </c>
      <c r="C3" s="235" t="s">
        <v>122</v>
      </c>
      <c r="D3" s="235" t="s">
        <v>121</v>
      </c>
      <c r="E3" s="235" t="s">
        <v>421</v>
      </c>
      <c r="F3" s="235" t="s">
        <v>471</v>
      </c>
      <c r="G3" s="106" t="s">
        <v>474</v>
      </c>
      <c r="H3" s="107" t="s">
        <v>420</v>
      </c>
      <c r="I3" s="212" t="s">
        <v>124</v>
      </c>
    </row>
    <row r="4" spans="1:9" s="82" customFormat="1" ht="19.149999999999999" customHeight="1">
      <c r="A4" s="632"/>
      <c r="B4" s="631"/>
      <c r="C4" s="88" t="s">
        <v>108</v>
      </c>
      <c r="D4" s="88" t="s">
        <v>564</v>
      </c>
      <c r="E4" s="88" t="s">
        <v>130</v>
      </c>
      <c r="F4" s="88" t="s">
        <v>130</v>
      </c>
      <c r="G4" s="108" t="s">
        <v>476</v>
      </c>
      <c r="H4" s="109" t="s">
        <v>444</v>
      </c>
      <c r="I4" s="88" t="s">
        <v>638</v>
      </c>
    </row>
    <row r="5" spans="1:9" s="82" customFormat="1" ht="36.6" customHeight="1">
      <c r="A5" s="632"/>
      <c r="B5" s="631"/>
      <c r="C5" s="246" t="s">
        <v>57</v>
      </c>
      <c r="D5" s="246" t="s">
        <v>60</v>
      </c>
      <c r="E5" s="246" t="s">
        <v>62</v>
      </c>
      <c r="F5" s="246" t="s">
        <v>70</v>
      </c>
      <c r="G5" s="110" t="s">
        <v>75</v>
      </c>
      <c r="H5" s="111" t="s">
        <v>472</v>
      </c>
      <c r="I5" s="239" t="s">
        <v>678</v>
      </c>
    </row>
    <row r="6" spans="1:9" s="82" customFormat="1" ht="39.6" customHeight="1">
      <c r="A6" s="622" t="s">
        <v>311</v>
      </c>
      <c r="B6" s="623"/>
      <c r="C6" s="239" t="s">
        <v>754</v>
      </c>
      <c r="D6" s="239" t="s">
        <v>763</v>
      </c>
      <c r="E6" s="239" t="s">
        <v>310</v>
      </c>
      <c r="F6" s="239" t="s">
        <v>310</v>
      </c>
      <c r="G6" s="239" t="s">
        <v>310</v>
      </c>
      <c r="H6" s="111" t="s">
        <v>572</v>
      </c>
      <c r="I6" s="239" t="s">
        <v>501</v>
      </c>
    </row>
    <row r="7" spans="1:9" ht="42" customHeight="1">
      <c r="A7" s="626" t="s">
        <v>305</v>
      </c>
      <c r="B7" s="198" t="s">
        <v>947</v>
      </c>
      <c r="C7" s="358">
        <f>'ｼｰﾄNO.3（表-3）59頁'!F32</f>
        <v>11</v>
      </c>
      <c r="D7" s="150">
        <f>'ｼｰﾄNO.3（表-3）59頁'!F30</f>
        <v>9</v>
      </c>
      <c r="E7" s="366">
        <v>70</v>
      </c>
      <c r="F7" s="366">
        <v>55</v>
      </c>
      <c r="G7" s="372">
        <v>450</v>
      </c>
      <c r="H7" s="372">
        <v>9</v>
      </c>
      <c r="I7" s="99">
        <f>C7*D7/24*(E7-F7)*G7*H7</f>
        <v>250593.75</v>
      </c>
    </row>
    <row r="8" spans="1:9" ht="44.45" customHeight="1">
      <c r="A8" s="627"/>
      <c r="B8" s="198" t="s">
        <v>948</v>
      </c>
      <c r="C8" s="358">
        <f>'ｼｰﾄNO.3（表-3）59頁'!F33</f>
        <v>18</v>
      </c>
      <c r="D8" s="150">
        <f>'ｼｰﾄNO.3（表-3）59頁'!F30</f>
        <v>9</v>
      </c>
      <c r="E8" s="366">
        <v>70</v>
      </c>
      <c r="F8" s="366">
        <v>55</v>
      </c>
      <c r="G8" s="372">
        <f>G7*2</f>
        <v>900</v>
      </c>
      <c r="H8" s="372">
        <v>9</v>
      </c>
      <c r="I8" s="99">
        <f>C8*D8/24*(E8-F8)*G8*H8</f>
        <v>820125</v>
      </c>
    </row>
    <row r="9" spans="1:9" ht="42" customHeight="1">
      <c r="A9" s="627"/>
      <c r="B9" s="198" t="s">
        <v>949</v>
      </c>
      <c r="C9" s="358">
        <f>'ｼｰﾄNO.3（表-3）59頁'!F34</f>
        <v>38</v>
      </c>
      <c r="D9" s="150">
        <f>'ｼｰﾄNO.3（表-3）59頁'!F30</f>
        <v>9</v>
      </c>
      <c r="E9" s="366">
        <v>70</v>
      </c>
      <c r="F9" s="366">
        <v>55</v>
      </c>
      <c r="G9" s="372">
        <v>450</v>
      </c>
      <c r="H9" s="372">
        <v>9</v>
      </c>
      <c r="I9" s="377">
        <f>C9*D9/24*(E9-F9)*G9*H9</f>
        <v>865687.5</v>
      </c>
    </row>
    <row r="10" spans="1:9" ht="28.5" customHeight="1">
      <c r="A10" s="628"/>
      <c r="B10" s="198" t="s">
        <v>125</v>
      </c>
      <c r="C10" s="358">
        <f>SUM(C7:C9)</f>
        <v>67</v>
      </c>
      <c r="D10" s="83"/>
      <c r="E10" s="86"/>
      <c r="F10" s="86"/>
      <c r="G10" s="387"/>
      <c r="H10" s="114"/>
      <c r="I10" s="365">
        <f>SUM(I7:I9)</f>
        <v>1936406.25</v>
      </c>
    </row>
    <row r="11" spans="1:9" ht="44.45" customHeight="1">
      <c r="A11" s="626" t="s">
        <v>306</v>
      </c>
      <c r="B11" s="198" t="s">
        <v>941</v>
      </c>
      <c r="C11" s="358">
        <f>'ｼｰﾄNO.3（表-3）59頁'!F35</f>
        <v>16</v>
      </c>
      <c r="D11" s="150">
        <f>'ｼｰﾄNO.3（表-3）59頁'!F30</f>
        <v>9</v>
      </c>
      <c r="E11" s="366">
        <v>70</v>
      </c>
      <c r="F11" s="366">
        <v>55</v>
      </c>
      <c r="G11" s="372">
        <v>450</v>
      </c>
      <c r="H11" s="372">
        <v>9</v>
      </c>
      <c r="I11" s="99">
        <f>C11*D11/24*(E11-F11)*G11*H11</f>
        <v>364500</v>
      </c>
    </row>
    <row r="12" spans="1:9" ht="58.9" customHeight="1">
      <c r="A12" s="627"/>
      <c r="B12" s="198" t="s">
        <v>950</v>
      </c>
      <c r="C12" s="358">
        <f>'ｼｰﾄNO.3（表-3）59頁'!F36</f>
        <v>12</v>
      </c>
      <c r="D12" s="150">
        <f>'ｼｰﾄNO.3（表-3）59頁'!F30</f>
        <v>9</v>
      </c>
      <c r="E12" s="366">
        <v>70</v>
      </c>
      <c r="F12" s="366">
        <v>55</v>
      </c>
      <c r="G12" s="372">
        <f>G11*2</f>
        <v>900</v>
      </c>
      <c r="H12" s="372">
        <v>9</v>
      </c>
      <c r="I12" s="99">
        <f>C12*D12/24*(E12-F12)*G12*H12</f>
        <v>546750</v>
      </c>
    </row>
    <row r="13" spans="1:9" ht="44.45" customHeight="1">
      <c r="A13" s="627"/>
      <c r="B13" s="198" t="s">
        <v>951</v>
      </c>
      <c r="C13" s="358">
        <f>'ｼｰﾄNO.3（表-3）59頁'!F37</f>
        <v>16</v>
      </c>
      <c r="D13" s="150">
        <f>'ｼｰﾄNO.3（表-3）59頁'!F30</f>
        <v>9</v>
      </c>
      <c r="E13" s="366">
        <v>70</v>
      </c>
      <c r="F13" s="366">
        <v>55</v>
      </c>
      <c r="G13" s="372">
        <v>450</v>
      </c>
      <c r="H13" s="372">
        <v>9</v>
      </c>
      <c r="I13" s="99">
        <f>C13*D13/24*(E13-F13)*G13*H13</f>
        <v>364500</v>
      </c>
    </row>
    <row r="14" spans="1:9" ht="44.45" customHeight="1">
      <c r="A14" s="627"/>
      <c r="B14" s="198" t="s">
        <v>952</v>
      </c>
      <c r="C14" s="358">
        <f>'ｼｰﾄNO.3（表-3）59頁'!F38</f>
        <v>18</v>
      </c>
      <c r="D14" s="150">
        <f>'ｼｰﾄNO.3（表-3）59頁'!F30</f>
        <v>9</v>
      </c>
      <c r="E14" s="366">
        <v>70</v>
      </c>
      <c r="F14" s="366">
        <v>55</v>
      </c>
      <c r="G14" s="372">
        <v>450</v>
      </c>
      <c r="H14" s="372">
        <v>9</v>
      </c>
      <c r="I14" s="99">
        <f>C14*D14/24*(E14-F14)*G14*H14</f>
        <v>410062.5</v>
      </c>
    </row>
    <row r="15" spans="1:9" ht="44.45" customHeight="1">
      <c r="A15" s="627"/>
      <c r="B15" s="198" t="s">
        <v>953</v>
      </c>
      <c r="C15" s="358">
        <f>'ｼｰﾄNO.3（表-3）59頁'!F39</f>
        <v>12</v>
      </c>
      <c r="D15" s="150">
        <f>'ｼｰﾄNO.3（表-3）59頁'!F30</f>
        <v>9</v>
      </c>
      <c r="E15" s="366">
        <v>70</v>
      </c>
      <c r="F15" s="366">
        <v>55</v>
      </c>
      <c r="G15" s="372">
        <v>450</v>
      </c>
      <c r="H15" s="388">
        <v>9</v>
      </c>
      <c r="I15" s="377">
        <f>C15*D15/24*(E15-F15)*G15*H15</f>
        <v>273375</v>
      </c>
    </row>
    <row r="16" spans="1:9" ht="24.95" customHeight="1">
      <c r="A16" s="628"/>
      <c r="B16" s="198" t="s">
        <v>125</v>
      </c>
      <c r="C16" s="358">
        <f>SUM(C11:C15)</f>
        <v>74</v>
      </c>
      <c r="D16" s="83"/>
      <c r="E16" s="86"/>
      <c r="F16" s="86"/>
      <c r="G16" s="119"/>
      <c r="H16" s="132"/>
      <c r="I16" s="360">
        <f>SUM(I11:I15)</f>
        <v>1959187.5</v>
      </c>
    </row>
    <row r="17" spans="1:9">
      <c r="A17" s="81"/>
      <c r="B17" s="81"/>
      <c r="C17" s="81"/>
      <c r="D17" s="81"/>
      <c r="E17" s="81"/>
      <c r="F17" s="81"/>
      <c r="I17" s="81"/>
    </row>
    <row r="18" spans="1:9" ht="15" customHeight="1">
      <c r="A18" s="633" t="s">
        <v>680</v>
      </c>
      <c r="B18" s="633"/>
      <c r="C18" s="633"/>
      <c r="D18" s="633"/>
      <c r="E18" s="633"/>
      <c r="F18" s="633"/>
      <c r="G18" s="633"/>
      <c r="H18" s="633"/>
      <c r="I18" s="81"/>
    </row>
    <row r="19" spans="1:9" ht="9" customHeight="1">
      <c r="A19" s="240"/>
      <c r="B19" s="240"/>
      <c r="C19" s="240"/>
      <c r="D19" s="240"/>
      <c r="E19" s="240"/>
      <c r="F19" s="240"/>
      <c r="G19" s="240"/>
      <c r="H19" s="240"/>
      <c r="I19" s="81"/>
    </row>
    <row r="20" spans="1:9" ht="15" customHeight="1">
      <c r="A20" s="81" t="s">
        <v>666</v>
      </c>
      <c r="B20" s="81"/>
      <c r="C20" s="81"/>
      <c r="D20" s="81"/>
      <c r="E20" s="81"/>
      <c r="F20" s="81"/>
      <c r="G20" s="116"/>
      <c r="H20" s="81"/>
      <c r="I20" s="81"/>
    </row>
    <row r="21" spans="1:9" ht="15" customHeight="1">
      <c r="A21" s="633" t="s">
        <v>681</v>
      </c>
      <c r="B21" s="633"/>
      <c r="C21" s="633"/>
      <c r="D21" s="633"/>
      <c r="E21" s="633"/>
      <c r="F21" s="633"/>
      <c r="G21" s="633"/>
      <c r="H21" s="633"/>
      <c r="I21" s="633"/>
    </row>
    <row r="22" spans="1:9" ht="15" customHeight="1">
      <c r="A22" s="81" t="s">
        <v>682</v>
      </c>
      <c r="B22" s="81"/>
      <c r="C22" s="81"/>
      <c r="D22" s="81"/>
      <c r="E22" s="81"/>
      <c r="F22" s="81"/>
      <c r="G22" s="116"/>
      <c r="H22" s="81"/>
      <c r="I22" s="81"/>
    </row>
    <row r="23" spans="1:9" ht="19.5" customHeight="1">
      <c r="A23" s="633"/>
      <c r="B23" s="633"/>
      <c r="C23" s="633"/>
      <c r="D23" s="633"/>
      <c r="E23" s="633"/>
      <c r="F23" s="633"/>
      <c r="G23" s="633"/>
      <c r="H23" s="633"/>
      <c r="I23" s="633"/>
    </row>
    <row r="24" spans="1:9" ht="18.75" customHeight="1">
      <c r="A24" s="633"/>
      <c r="B24" s="633"/>
      <c r="C24" s="633"/>
      <c r="D24" s="633"/>
      <c r="E24" s="633"/>
      <c r="F24" s="633"/>
      <c r="G24" s="633"/>
      <c r="H24" s="633"/>
      <c r="I24" s="633"/>
    </row>
  </sheetData>
  <mergeCells count="9">
    <mergeCell ref="B3:B5"/>
    <mergeCell ref="A3:A5"/>
    <mergeCell ref="A6:B6"/>
    <mergeCell ref="A21:I21"/>
    <mergeCell ref="A24:I24"/>
    <mergeCell ref="A18:H18"/>
    <mergeCell ref="A23:I23"/>
    <mergeCell ref="A7:A10"/>
    <mergeCell ref="A11:A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5" fitToWidth="0" fitToHeight="0" orientation="portrait" r:id="rId1"/>
  <ignoredErrors>
    <ignoredError sqref="I1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J1" sqref="J1"/>
    </sheetView>
  </sheetViews>
  <sheetFormatPr defaultColWidth="9" defaultRowHeight="13.5"/>
  <cols>
    <col min="1" max="1" width="7.125" style="75" bestFit="1" customWidth="1"/>
    <col min="2" max="2" width="17" style="75" customWidth="1"/>
    <col min="3" max="3" width="7.5" style="75" customWidth="1"/>
    <col min="4" max="4" width="10" style="75" customWidth="1"/>
    <col min="5" max="6" width="9.25" style="75" customWidth="1"/>
    <col min="7" max="7" width="11.625" style="105" customWidth="1"/>
    <col min="8" max="8" width="13.875" style="75" customWidth="1"/>
    <col min="9" max="9" width="24.25" style="75" customWidth="1"/>
    <col min="10" max="16384" width="9" style="75"/>
  </cols>
  <sheetData>
    <row r="1" spans="1:9" ht="15.6" customHeight="1">
      <c r="A1" s="75" t="s">
        <v>683</v>
      </c>
      <c r="I1" s="196"/>
    </row>
    <row r="2" spans="1:9" ht="15.6" customHeight="1"/>
    <row r="3" spans="1:9" s="82" customFormat="1" ht="31.9" customHeight="1">
      <c r="A3" s="632" t="s">
        <v>627</v>
      </c>
      <c r="B3" s="631" t="s">
        <v>560</v>
      </c>
      <c r="C3" s="235" t="s">
        <v>122</v>
      </c>
      <c r="D3" s="235" t="s">
        <v>121</v>
      </c>
      <c r="E3" s="235" t="s">
        <v>573</v>
      </c>
      <c r="F3" s="235" t="s">
        <v>574</v>
      </c>
      <c r="G3" s="106" t="s">
        <v>473</v>
      </c>
      <c r="H3" s="107" t="s">
        <v>420</v>
      </c>
      <c r="I3" s="212" t="s">
        <v>124</v>
      </c>
    </row>
    <row r="4" spans="1:9" s="82" customFormat="1" ht="25.5" customHeight="1">
      <c r="A4" s="632"/>
      <c r="B4" s="631"/>
      <c r="C4" s="88" t="s">
        <v>108</v>
      </c>
      <c r="D4" s="88" t="s">
        <v>564</v>
      </c>
      <c r="E4" s="88" t="s">
        <v>130</v>
      </c>
      <c r="F4" s="88" t="s">
        <v>130</v>
      </c>
      <c r="G4" s="108" t="s">
        <v>171</v>
      </c>
      <c r="H4" s="109" t="s">
        <v>444</v>
      </c>
      <c r="I4" s="88" t="s">
        <v>638</v>
      </c>
    </row>
    <row r="5" spans="1:9" s="82" customFormat="1" ht="36.6" customHeight="1">
      <c r="A5" s="632"/>
      <c r="B5" s="631"/>
      <c r="C5" s="246" t="s">
        <v>57</v>
      </c>
      <c r="D5" s="246" t="s">
        <v>60</v>
      </c>
      <c r="E5" s="246" t="s">
        <v>62</v>
      </c>
      <c r="F5" s="246" t="s">
        <v>70</v>
      </c>
      <c r="G5" s="112" t="s">
        <v>75</v>
      </c>
      <c r="H5" s="111" t="s">
        <v>78</v>
      </c>
      <c r="I5" s="239" t="s">
        <v>678</v>
      </c>
    </row>
    <row r="6" spans="1:9" s="82" customFormat="1" ht="39.6" customHeight="1">
      <c r="A6" s="622" t="s">
        <v>319</v>
      </c>
      <c r="B6" s="623"/>
      <c r="C6" s="239" t="s">
        <v>760</v>
      </c>
      <c r="D6" s="239" t="s">
        <v>756</v>
      </c>
      <c r="E6" s="239" t="s">
        <v>671</v>
      </c>
      <c r="F6" s="239" t="s">
        <v>632</v>
      </c>
      <c r="G6" s="239" t="s">
        <v>672</v>
      </c>
      <c r="H6" s="111" t="s">
        <v>419</v>
      </c>
      <c r="I6" s="239" t="s">
        <v>576</v>
      </c>
    </row>
    <row r="7" spans="1:9" ht="42" customHeight="1">
      <c r="A7" s="626" t="s">
        <v>305</v>
      </c>
      <c r="B7" s="198" t="s">
        <v>947</v>
      </c>
      <c r="C7" s="358">
        <f>'ｼｰﾄNO.3（表-3）59頁'!F32</f>
        <v>11</v>
      </c>
      <c r="D7" s="150">
        <f>'ｼｰﾄNO.3（表-3）59頁'!F30</f>
        <v>9</v>
      </c>
      <c r="E7" s="366">
        <v>70</v>
      </c>
      <c r="F7" s="366">
        <v>55</v>
      </c>
      <c r="G7" s="372">
        <v>400</v>
      </c>
      <c r="H7" s="372">
        <v>9</v>
      </c>
      <c r="I7" s="377">
        <f>C7*D7/24*(E7-F7)*G7*H7</f>
        <v>222750</v>
      </c>
    </row>
    <row r="8" spans="1:9" ht="44.45" customHeight="1">
      <c r="A8" s="627"/>
      <c r="B8" s="198" t="s">
        <v>948</v>
      </c>
      <c r="C8" s="358">
        <f>'ｼｰﾄNO.3（表-3）59頁'!F33</f>
        <v>18</v>
      </c>
      <c r="D8" s="150">
        <f>'ｼｰﾄNO.3（表-3）59頁'!F30</f>
        <v>9</v>
      </c>
      <c r="E8" s="366">
        <v>70</v>
      </c>
      <c r="F8" s="366">
        <v>55</v>
      </c>
      <c r="G8" s="372">
        <f>G7*2</f>
        <v>800</v>
      </c>
      <c r="H8" s="372">
        <v>9</v>
      </c>
      <c r="I8" s="377">
        <f>C8*D8/24*(E8-F8)*G8*H8</f>
        <v>729000</v>
      </c>
    </row>
    <row r="9" spans="1:9" ht="42" customHeight="1">
      <c r="A9" s="627"/>
      <c r="B9" s="198" t="s">
        <v>949</v>
      </c>
      <c r="C9" s="358">
        <f>'ｼｰﾄNO.3（表-3）59頁'!F34</f>
        <v>38</v>
      </c>
      <c r="D9" s="150">
        <f>'ｼｰﾄNO.3（表-3）59頁'!F30</f>
        <v>9</v>
      </c>
      <c r="E9" s="366">
        <v>70</v>
      </c>
      <c r="F9" s="366">
        <v>55</v>
      </c>
      <c r="G9" s="372">
        <v>400</v>
      </c>
      <c r="H9" s="372">
        <v>9</v>
      </c>
      <c r="I9" s="377">
        <f>C9*D9/24*(E9-F9)*G9*H9</f>
        <v>769500</v>
      </c>
    </row>
    <row r="10" spans="1:9" ht="24.95" customHeight="1">
      <c r="A10" s="628"/>
      <c r="B10" s="198" t="s">
        <v>125</v>
      </c>
      <c r="C10" s="358">
        <f>SUM(C7:C9)</f>
        <v>67</v>
      </c>
      <c r="D10" s="83"/>
      <c r="E10" s="86"/>
      <c r="F10" s="86"/>
      <c r="G10" s="119"/>
      <c r="H10" s="114"/>
      <c r="I10" s="376">
        <f>SUM(I7:I9)</f>
        <v>1721250</v>
      </c>
    </row>
    <row r="11" spans="1:9" ht="44.45" customHeight="1">
      <c r="A11" s="626" t="s">
        <v>306</v>
      </c>
      <c r="B11" s="198" t="s">
        <v>941</v>
      </c>
      <c r="C11" s="358">
        <f>'ｼｰﾄNO.3（表-3）59頁'!F35</f>
        <v>16</v>
      </c>
      <c r="D11" s="150">
        <f>'ｼｰﾄNO.3（表-3）59頁'!F30</f>
        <v>9</v>
      </c>
      <c r="E11" s="366">
        <v>70</v>
      </c>
      <c r="F11" s="366">
        <v>55</v>
      </c>
      <c r="G11" s="372">
        <v>400</v>
      </c>
      <c r="H11" s="372">
        <v>9</v>
      </c>
      <c r="I11" s="377">
        <f>C11*D11/24*(E11-F11)*G11*H11</f>
        <v>324000</v>
      </c>
    </row>
    <row r="12" spans="1:9" ht="59.25" customHeight="1">
      <c r="A12" s="627"/>
      <c r="B12" s="198" t="s">
        <v>950</v>
      </c>
      <c r="C12" s="358">
        <f>'ｼｰﾄNO.3（表-3）59頁'!F36</f>
        <v>12</v>
      </c>
      <c r="D12" s="150">
        <f>'ｼｰﾄNO.3（表-3）59頁'!F30</f>
        <v>9</v>
      </c>
      <c r="E12" s="366">
        <v>70</v>
      </c>
      <c r="F12" s="366">
        <v>55</v>
      </c>
      <c r="G12" s="372">
        <f>G11*2</f>
        <v>800</v>
      </c>
      <c r="H12" s="372">
        <v>9</v>
      </c>
      <c r="I12" s="377">
        <f>C12*D12/24*(E12-F12)*G12*H12</f>
        <v>486000</v>
      </c>
    </row>
    <row r="13" spans="1:9" ht="44.45" customHeight="1">
      <c r="A13" s="627"/>
      <c r="B13" s="198" t="s">
        <v>951</v>
      </c>
      <c r="C13" s="358">
        <f>'ｼｰﾄNO.3（表-3）59頁'!F37</f>
        <v>16</v>
      </c>
      <c r="D13" s="150">
        <f>'ｼｰﾄNO.3（表-3）59頁'!F30</f>
        <v>9</v>
      </c>
      <c r="E13" s="366">
        <v>70</v>
      </c>
      <c r="F13" s="366">
        <v>55</v>
      </c>
      <c r="G13" s="372">
        <v>400</v>
      </c>
      <c r="H13" s="372">
        <v>9</v>
      </c>
      <c r="I13" s="377">
        <f>C13*D13/24*(E13-F13)*G13*H13</f>
        <v>324000</v>
      </c>
    </row>
    <row r="14" spans="1:9" ht="44.45" customHeight="1">
      <c r="A14" s="627"/>
      <c r="B14" s="198" t="s">
        <v>952</v>
      </c>
      <c r="C14" s="358">
        <f>'ｼｰﾄNO.3（表-3）59頁'!F38</f>
        <v>18</v>
      </c>
      <c r="D14" s="150">
        <f>'ｼｰﾄNO.3（表-3）59頁'!F30</f>
        <v>9</v>
      </c>
      <c r="E14" s="366">
        <v>70</v>
      </c>
      <c r="F14" s="366">
        <v>55</v>
      </c>
      <c r="G14" s="372">
        <v>400</v>
      </c>
      <c r="H14" s="372">
        <v>9</v>
      </c>
      <c r="I14" s="377">
        <f>C14*D14/24*(E14-F14)*G14*H14</f>
        <v>364500</v>
      </c>
    </row>
    <row r="15" spans="1:9" ht="44.45" customHeight="1">
      <c r="A15" s="627"/>
      <c r="B15" s="198" t="s">
        <v>953</v>
      </c>
      <c r="C15" s="358">
        <f>'ｼｰﾄNO.3（表-3）59頁'!F39</f>
        <v>12</v>
      </c>
      <c r="D15" s="150">
        <f>'ｼｰﾄNO.3（表-3）59頁'!F30</f>
        <v>9</v>
      </c>
      <c r="E15" s="366">
        <v>70</v>
      </c>
      <c r="F15" s="366">
        <v>55</v>
      </c>
      <c r="G15" s="372">
        <v>400</v>
      </c>
      <c r="H15" s="388">
        <v>9</v>
      </c>
      <c r="I15" s="377">
        <f>C15*D15/24*(E15-F15)*G15*H15</f>
        <v>243000</v>
      </c>
    </row>
    <row r="16" spans="1:9" ht="29.25" customHeight="1">
      <c r="A16" s="628"/>
      <c r="B16" s="198" t="s">
        <v>125</v>
      </c>
      <c r="C16" s="358">
        <f>SUM(C11:C15)</f>
        <v>74</v>
      </c>
      <c r="D16" s="83"/>
      <c r="E16" s="86"/>
      <c r="F16" s="86"/>
      <c r="G16" s="119"/>
      <c r="H16" s="132"/>
      <c r="I16" s="376">
        <f>SUM(I11:I15)</f>
        <v>1741500</v>
      </c>
    </row>
    <row r="17" spans="1:9">
      <c r="A17" s="81"/>
      <c r="B17" s="81"/>
      <c r="C17" s="81"/>
      <c r="D17" s="81"/>
      <c r="E17" s="81"/>
      <c r="F17" s="81"/>
      <c r="H17" s="81"/>
      <c r="I17" s="81"/>
    </row>
    <row r="18" spans="1:9" ht="15" customHeight="1">
      <c r="A18" s="633" t="s">
        <v>685</v>
      </c>
      <c r="B18" s="633"/>
      <c r="C18" s="633"/>
      <c r="D18" s="633"/>
      <c r="E18" s="633"/>
      <c r="F18" s="633"/>
      <c r="G18" s="633"/>
      <c r="H18" s="82"/>
      <c r="I18" s="81"/>
    </row>
    <row r="19" spans="1:9" ht="9" customHeight="1">
      <c r="A19" s="240"/>
      <c r="B19" s="240"/>
      <c r="C19" s="240"/>
      <c r="D19" s="240"/>
      <c r="E19" s="240"/>
      <c r="F19" s="240"/>
      <c r="G19" s="240"/>
      <c r="H19" s="82"/>
      <c r="I19" s="81"/>
    </row>
    <row r="20" spans="1:9" ht="15" customHeight="1">
      <c r="A20" s="81" t="s">
        <v>686</v>
      </c>
      <c r="B20" s="81"/>
      <c r="C20" s="81"/>
      <c r="D20" s="81"/>
      <c r="E20" s="81"/>
      <c r="F20" s="81"/>
      <c r="G20" s="81"/>
      <c r="H20" s="81"/>
      <c r="I20" s="81"/>
    </row>
    <row r="21" spans="1:9" ht="15" customHeight="1">
      <c r="A21" s="633" t="s">
        <v>575</v>
      </c>
      <c r="B21" s="633"/>
      <c r="C21" s="633"/>
      <c r="D21" s="633"/>
      <c r="E21" s="633"/>
      <c r="F21" s="633"/>
      <c r="G21" s="633"/>
      <c r="H21" s="633"/>
      <c r="I21" s="633"/>
    </row>
    <row r="22" spans="1:9" ht="15" customHeight="1">
      <c r="A22" s="81" t="s">
        <v>687</v>
      </c>
      <c r="B22" s="81"/>
      <c r="C22" s="81"/>
      <c r="D22" s="81"/>
      <c r="E22" s="81"/>
      <c r="F22" s="81"/>
      <c r="G22" s="81"/>
      <c r="H22" s="81"/>
      <c r="I22" s="81"/>
    </row>
    <row r="23" spans="1:9" ht="22.5" customHeight="1">
      <c r="A23" s="81"/>
      <c r="B23" s="81"/>
      <c r="C23" s="81"/>
      <c r="D23" s="81"/>
      <c r="E23" s="81"/>
      <c r="F23" s="81"/>
      <c r="H23" s="81"/>
      <c r="I23" s="81"/>
    </row>
    <row r="24" spans="1:9">
      <c r="A24" s="81"/>
      <c r="B24" s="81"/>
      <c r="C24" s="81"/>
      <c r="D24" s="81"/>
      <c r="E24" s="81"/>
      <c r="F24" s="81"/>
      <c r="H24" s="81"/>
      <c r="I24" s="81"/>
    </row>
  </sheetData>
  <mergeCells count="7">
    <mergeCell ref="B3:B5"/>
    <mergeCell ref="A3:A5"/>
    <mergeCell ref="A21:I21"/>
    <mergeCell ref="A18:G18"/>
    <mergeCell ref="A7:A10"/>
    <mergeCell ref="A11:A16"/>
    <mergeCell ref="A6:B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fitToWidth="0" fitToHeight="0" orientation="portrait" r:id="rId1"/>
  <ignoredErrors>
    <ignoredError sqref="I10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zoomScale="70" zoomScaleNormal="70" zoomScalePageLayoutView="70" workbookViewId="0">
      <selection activeCell="X1" sqref="X1"/>
    </sheetView>
  </sheetViews>
  <sheetFormatPr defaultColWidth="8.875" defaultRowHeight="13.5"/>
  <cols>
    <col min="1" max="1" width="13.625" style="140" customWidth="1"/>
    <col min="2" max="2" width="7.75" style="140" customWidth="1"/>
    <col min="3" max="3" width="9" style="140" customWidth="1"/>
    <col min="4" max="5" width="6.125" style="140" customWidth="1"/>
    <col min="6" max="6" width="8.375" style="140" customWidth="1"/>
    <col min="7" max="7" width="8.625" style="140" customWidth="1"/>
    <col min="8" max="8" width="9.875" style="140" customWidth="1"/>
    <col min="9" max="9" width="13.5" style="140" customWidth="1"/>
    <col min="10" max="10" width="16.75" style="140" customWidth="1"/>
    <col min="11" max="11" width="9.875" style="140" customWidth="1"/>
    <col min="12" max="12" width="13.625" style="140" customWidth="1"/>
    <col min="13" max="13" width="16.75" style="140" customWidth="1"/>
    <col min="14" max="14" width="9.875" style="140" customWidth="1"/>
    <col min="15" max="15" width="13.625" style="140" customWidth="1"/>
    <col min="16" max="16" width="16.875" style="140" customWidth="1"/>
    <col min="17" max="17" width="9.875" style="140" customWidth="1"/>
    <col min="18" max="18" width="13.625" style="140" customWidth="1"/>
    <col min="19" max="19" width="16.75" style="140" customWidth="1"/>
    <col min="20" max="20" width="9.875" style="140" customWidth="1"/>
    <col min="21" max="21" width="9.5" style="140" customWidth="1"/>
    <col min="22" max="22" width="11.375" style="140" customWidth="1"/>
    <col min="23" max="23" width="14" style="140" customWidth="1"/>
    <col min="24" max="16384" width="8.875" style="140"/>
  </cols>
  <sheetData>
    <row r="1" spans="1:23" s="284" customFormat="1" ht="15.6" customHeight="1">
      <c r="A1" s="284" t="s">
        <v>690</v>
      </c>
      <c r="E1" s="140"/>
      <c r="J1" s="140"/>
      <c r="U1" s="140"/>
      <c r="W1" s="389"/>
    </row>
    <row r="2" spans="1:23" s="284" customFormat="1" ht="15.6" customHeight="1">
      <c r="E2" s="140"/>
      <c r="J2" s="140"/>
      <c r="U2" s="140"/>
    </row>
    <row r="3" spans="1:23" ht="42.75" customHeight="1">
      <c r="A3" s="660" t="s">
        <v>560</v>
      </c>
      <c r="B3" s="660" t="s">
        <v>578</v>
      </c>
      <c r="C3" s="233" t="s">
        <v>121</v>
      </c>
      <c r="D3" s="547" t="s">
        <v>13</v>
      </c>
      <c r="E3" s="547"/>
      <c r="F3" s="233" t="s">
        <v>67</v>
      </c>
      <c r="G3" s="249" t="s">
        <v>76</v>
      </c>
      <c r="H3" s="135" t="s">
        <v>983</v>
      </c>
      <c r="I3" s="235" t="s">
        <v>984</v>
      </c>
      <c r="J3" s="235" t="s">
        <v>985</v>
      </c>
      <c r="K3" s="135" t="s">
        <v>333</v>
      </c>
      <c r="L3" s="235" t="s">
        <v>688</v>
      </c>
      <c r="M3" s="235" t="s">
        <v>335</v>
      </c>
      <c r="N3" s="135" t="s">
        <v>954</v>
      </c>
      <c r="O3" s="235" t="s">
        <v>955</v>
      </c>
      <c r="P3" s="235" t="s">
        <v>956</v>
      </c>
      <c r="Q3" s="135" t="s">
        <v>336</v>
      </c>
      <c r="R3" s="235" t="s">
        <v>689</v>
      </c>
      <c r="S3" s="235" t="s">
        <v>338</v>
      </c>
      <c r="T3" s="235" t="s">
        <v>451</v>
      </c>
      <c r="U3" s="235" t="s">
        <v>88</v>
      </c>
      <c r="V3" s="235" t="s">
        <v>451</v>
      </c>
      <c r="W3" s="540" t="s">
        <v>691</v>
      </c>
    </row>
    <row r="4" spans="1:23" ht="13.9" customHeight="1">
      <c r="A4" s="660"/>
      <c r="B4" s="660"/>
      <c r="C4" s="231" t="s">
        <v>564</v>
      </c>
      <c r="D4" s="664" t="s">
        <v>61</v>
      </c>
      <c r="E4" s="664"/>
      <c r="F4" s="250" t="s">
        <v>74</v>
      </c>
      <c r="G4" s="250" t="s">
        <v>77</v>
      </c>
      <c r="H4" s="103" t="s">
        <v>73</v>
      </c>
      <c r="I4" s="88" t="s">
        <v>72</v>
      </c>
      <c r="J4" s="88" t="s">
        <v>71</v>
      </c>
      <c r="K4" s="103" t="s">
        <v>339</v>
      </c>
      <c r="L4" s="88" t="s">
        <v>340</v>
      </c>
      <c r="M4" s="88" t="s">
        <v>341</v>
      </c>
      <c r="N4" s="103" t="s">
        <v>342</v>
      </c>
      <c r="O4" s="88" t="s">
        <v>343</v>
      </c>
      <c r="P4" s="88" t="s">
        <v>341</v>
      </c>
      <c r="Q4" s="103" t="s">
        <v>344</v>
      </c>
      <c r="R4" s="88" t="s">
        <v>345</v>
      </c>
      <c r="S4" s="88" t="s">
        <v>346</v>
      </c>
      <c r="T4" s="88" t="s">
        <v>341</v>
      </c>
      <c r="U4" s="88" t="s">
        <v>108</v>
      </c>
      <c r="V4" s="88" t="s">
        <v>347</v>
      </c>
      <c r="W4" s="541"/>
    </row>
    <row r="5" spans="1:23" ht="45" customHeight="1">
      <c r="A5" s="660"/>
      <c r="B5" s="660"/>
      <c r="C5" s="234" t="s">
        <v>348</v>
      </c>
      <c r="D5" s="549" t="s">
        <v>349</v>
      </c>
      <c r="E5" s="549"/>
      <c r="F5" s="251" t="s">
        <v>350</v>
      </c>
      <c r="G5" s="251" t="s">
        <v>446</v>
      </c>
      <c r="H5" s="136" t="s">
        <v>75</v>
      </c>
      <c r="I5" s="245" t="s">
        <v>447</v>
      </c>
      <c r="J5" s="237" t="s">
        <v>851</v>
      </c>
      <c r="K5" s="136" t="s">
        <v>351</v>
      </c>
      <c r="L5" s="245" t="s">
        <v>352</v>
      </c>
      <c r="M5" s="237" t="s">
        <v>957</v>
      </c>
      <c r="N5" s="136" t="s">
        <v>448</v>
      </c>
      <c r="O5" s="245" t="s">
        <v>449</v>
      </c>
      <c r="P5" s="237" t="s">
        <v>958</v>
      </c>
      <c r="Q5" s="137" t="s">
        <v>450</v>
      </c>
      <c r="R5" s="237" t="s">
        <v>452</v>
      </c>
      <c r="S5" s="237" t="s">
        <v>959</v>
      </c>
      <c r="T5" s="245" t="s">
        <v>453</v>
      </c>
      <c r="U5" s="245" t="s">
        <v>454</v>
      </c>
      <c r="V5" s="245" t="s">
        <v>727</v>
      </c>
      <c r="W5" s="541"/>
    </row>
    <row r="6" spans="1:23" ht="30.75" customHeight="1">
      <c r="A6" s="550" t="s">
        <v>311</v>
      </c>
      <c r="B6" s="552"/>
      <c r="C6" s="248" t="s">
        <v>753</v>
      </c>
      <c r="D6" s="579" t="s">
        <v>514</v>
      </c>
      <c r="E6" s="580"/>
      <c r="F6" s="248" t="s">
        <v>577</v>
      </c>
      <c r="G6" s="248" t="s">
        <v>515</v>
      </c>
      <c r="H6" s="29" t="s">
        <v>445</v>
      </c>
      <c r="I6" s="236" t="s">
        <v>880</v>
      </c>
      <c r="J6" s="236" t="s">
        <v>879</v>
      </c>
      <c r="K6" s="29" t="s">
        <v>445</v>
      </c>
      <c r="L6" s="236" t="s">
        <v>516</v>
      </c>
      <c r="M6" s="236" t="s">
        <v>517</v>
      </c>
      <c r="N6" s="29" t="s">
        <v>445</v>
      </c>
      <c r="O6" s="236" t="s">
        <v>516</v>
      </c>
      <c r="P6" s="236" t="s">
        <v>517</v>
      </c>
      <c r="Q6" s="29" t="s">
        <v>479</v>
      </c>
      <c r="R6" s="236" t="s">
        <v>880</v>
      </c>
      <c r="S6" s="236" t="s">
        <v>517</v>
      </c>
      <c r="T6" s="244" t="s">
        <v>558</v>
      </c>
      <c r="U6" s="248" t="s">
        <v>753</v>
      </c>
      <c r="V6" s="244" t="s">
        <v>558</v>
      </c>
      <c r="W6" s="542"/>
    </row>
    <row r="7" spans="1:23" ht="19.7" customHeight="1">
      <c r="A7" s="540" t="s">
        <v>960</v>
      </c>
      <c r="B7" s="540" t="s">
        <v>224</v>
      </c>
      <c r="C7" s="553">
        <f>'ｼｰﾄNO.3（表-3）59頁'!$F$30</f>
        <v>9</v>
      </c>
      <c r="D7" s="133" t="s">
        <v>65</v>
      </c>
      <c r="E7" s="292">
        <f>'ｼｰﾄNO.4（表-4）60頁'!K6</f>
        <v>772.34999999999991</v>
      </c>
      <c r="F7" s="543">
        <f>'ｼｰﾄNO.4（表-4）60頁'!C6/1000</f>
        <v>1.054</v>
      </c>
      <c r="G7" s="543">
        <f>F7/('ｼｰﾄNO.4（表-4）60頁'!H6/3600)</f>
        <v>29.643750000000001</v>
      </c>
      <c r="H7" s="293">
        <f>-2.71095565/G7-0.09453616*G7+0.00089493*G7^2+3.15403637</f>
        <v>1.0466003564631281</v>
      </c>
      <c r="I7" s="620">
        <v>6000</v>
      </c>
      <c r="J7" s="99">
        <f>C7*E7*F7*H7/1000000*I7</f>
        <v>46.007581052948531</v>
      </c>
      <c r="K7" s="390">
        <f>-0.25063622/G7-0.00657231*G7+0.00005332*G7^2+0.29056757</f>
        <v>0.13413976437914132</v>
      </c>
      <c r="L7" s="620">
        <v>1364600</v>
      </c>
      <c r="M7" s="99">
        <f>C7*E7*F7*K7/1000000*L7</f>
        <v>1341.0969576596506</v>
      </c>
      <c r="N7" s="390">
        <f>0.093055673/G7-0.0002682273*G7+0.00000218*G7^2+0.0173678037</f>
        <v>1.4471352818974903E-2</v>
      </c>
      <c r="O7" s="620">
        <v>5506900</v>
      </c>
      <c r="P7" s="99">
        <f>C7*E7*F7*N7/1000000*O7</f>
        <v>583.86654776030605</v>
      </c>
      <c r="Q7" s="390">
        <f>0.0505593958/G7-0.000357176*G7+0.0000031505*G7^2+0.0131649024</f>
        <v>7.0509410543262221E-3</v>
      </c>
      <c r="R7" s="658">
        <v>11025800</v>
      </c>
      <c r="S7" s="99">
        <f t="shared" ref="S7" si="0">C7*E7*F7*Q7/1000000*R7</f>
        <v>569.5796516277195</v>
      </c>
      <c r="T7" s="616">
        <f>SUM(J7:J30)+SUM(M7:M30)+SUM(P7:P30)+SUM(S7:S30)</f>
        <v>21682.801938929384</v>
      </c>
      <c r="U7" s="616">
        <f>'ｼｰﾄNO.3（表-3）59頁'!$F$32</f>
        <v>11</v>
      </c>
      <c r="V7" s="616">
        <f>T7*U7</f>
        <v>238510.82132822322</v>
      </c>
      <c r="W7" s="661">
        <f>SUM(V7:V78)</f>
        <v>1452747.7299082689</v>
      </c>
    </row>
    <row r="8" spans="1:23" ht="19.7" customHeight="1">
      <c r="A8" s="541"/>
      <c r="B8" s="542"/>
      <c r="C8" s="566"/>
      <c r="D8" s="134" t="s">
        <v>66</v>
      </c>
      <c r="E8" s="295">
        <f>'ｼｰﾄNO.4（表-4）60頁'!K7</f>
        <v>40.650000000000006</v>
      </c>
      <c r="F8" s="544"/>
      <c r="G8" s="544"/>
      <c r="H8" s="296">
        <f>12.28697452/G7-0.05907844*G7+0.00051753*G7^2+2.69979197</f>
        <v>1.8177538030136606</v>
      </c>
      <c r="I8" s="621"/>
      <c r="J8" s="221">
        <f>C7*E8*F7*H8/1000000*I7</f>
        <v>4.205619547137033</v>
      </c>
      <c r="K8" s="391">
        <f>9.45345681/G7-0.14325844*G7+0.00124097*G7^2+5.98054622</f>
        <v>3.1432357925564749</v>
      </c>
      <c r="L8" s="621"/>
      <c r="M8" s="221">
        <f>C7*E8*F7*K8/1000000*L7</f>
        <v>1653.96379394012</v>
      </c>
      <c r="N8" s="391">
        <f>0.6037810576/G7-0.0052863845*G7+0.0000423961*G7^2+0.3189943526</f>
        <v>0.21990965021660547</v>
      </c>
      <c r="O8" s="621"/>
      <c r="P8" s="221">
        <f>C7*E8*F7*N8/1000000*O7</f>
        <v>466.97663161180054</v>
      </c>
      <c r="Q8" s="392">
        <f>1.5469182952/G7-0.0051393982*G7+0.0000404677*G7^2+0.2460289003</f>
        <v>0.18142255744628519</v>
      </c>
      <c r="R8" s="659"/>
      <c r="S8" s="393">
        <f t="shared" ref="S8" si="1">C7*E8*F7*Q8/1000000*R7</f>
        <v>771.33860028858635</v>
      </c>
      <c r="T8" s="665"/>
      <c r="U8" s="665"/>
      <c r="V8" s="665"/>
      <c r="W8" s="662"/>
    </row>
    <row r="9" spans="1:23" ht="19.7" customHeight="1">
      <c r="A9" s="541"/>
      <c r="B9" s="540" t="s">
        <v>257</v>
      </c>
      <c r="C9" s="553">
        <f>'ｼｰﾄNO.3（表-3）59頁'!$F$30</f>
        <v>9</v>
      </c>
      <c r="D9" s="133" t="s">
        <v>65</v>
      </c>
      <c r="E9" s="294">
        <f>'ｼｰﾄNO.4（表-4）60頁'!K8</f>
        <v>148.19999999999999</v>
      </c>
      <c r="F9" s="543">
        <f>'ｼｰﾄNO.4（表-4）60頁'!C8/1000</f>
        <v>0.76100000000000001</v>
      </c>
      <c r="G9" s="543">
        <f>F9/('ｼｰﾄNO.4（表-4）60頁'!H8/3600)</f>
        <v>27.955102040816328</v>
      </c>
      <c r="H9" s="293">
        <f>-2.71095565/G9-0.09453616*G9+0.00089493*G9^2+3.15403637</f>
        <v>1.1136698404962537</v>
      </c>
      <c r="I9" s="620">
        <v>6000</v>
      </c>
      <c r="J9" s="99">
        <f t="shared" ref="J9" si="2">C9*E9*F9*H9/1000000*I9</f>
        <v>6.7823949966373211</v>
      </c>
      <c r="K9" s="390">
        <f t="shared" ref="K9" si="3">-0.25063622/G9-0.00657231*G9+0.00005332*G9^2+0.29056757</f>
        <v>0.13954122906549798</v>
      </c>
      <c r="L9" s="620">
        <v>1364600</v>
      </c>
      <c r="M9" s="99">
        <f>C9*E9*F9*K9/1000000*L9</f>
        <v>193.27838171207401</v>
      </c>
      <c r="N9" s="390">
        <f t="shared" ref="N9" si="4">0.093055673/G9-0.0002682273*G9+0.00000218*G9^2+0.0173678037</f>
        <v>1.4901879955931608E-2</v>
      </c>
      <c r="O9" s="620">
        <v>5506900</v>
      </c>
      <c r="P9" s="99">
        <f>C9*E9*F9*N9/1000000*O9</f>
        <v>83.295899147207066</v>
      </c>
      <c r="Q9" s="390">
        <f t="shared" ref="Q9" si="5">0.0505593958/G9-0.000357176*G9+0.0000031505*G9^2+0.0131649024</f>
        <v>7.450680750222689E-3</v>
      </c>
      <c r="R9" s="658">
        <v>11025800</v>
      </c>
      <c r="S9" s="375">
        <f t="shared" ref="S9" si="6">C9*E9*F9*Q9/1000000*R9</f>
        <v>83.383752416847187</v>
      </c>
      <c r="T9" s="665"/>
      <c r="U9" s="665"/>
      <c r="V9" s="665"/>
      <c r="W9" s="662"/>
    </row>
    <row r="10" spans="1:23" ht="19.7" customHeight="1">
      <c r="A10" s="541"/>
      <c r="B10" s="542"/>
      <c r="C10" s="566"/>
      <c r="D10" s="134" t="s">
        <v>66</v>
      </c>
      <c r="E10" s="298">
        <f>'ｼｰﾄNO.4（表-4）60頁'!K9</f>
        <v>7.8000000000000007</v>
      </c>
      <c r="F10" s="544"/>
      <c r="G10" s="544"/>
      <c r="H10" s="296">
        <f>12.28697452/G9-0.05907844*G9+0.00051753*G9^2+2.69979197</f>
        <v>1.8922167930969032</v>
      </c>
      <c r="I10" s="621"/>
      <c r="J10" s="221">
        <f t="shared" ref="J10" si="7">C9*E10*F9*H10/1000000*I9</f>
        <v>0.60651830378508842</v>
      </c>
      <c r="K10" s="391">
        <f t="shared" ref="K10" si="8">9.45345681/G9-0.14325844*G9+0.00124097*G9^2+5.98054622</f>
        <v>3.2837104457456512</v>
      </c>
      <c r="L10" s="621"/>
      <c r="M10" s="221">
        <f>C9*E10*F9*K10/1000000*L9</f>
        <v>239.38227516401381</v>
      </c>
      <c r="N10" s="391">
        <f t="shared" ref="N10" si="9">0.6037810576/G9-0.0052863845*G9+0.0000423961*G9^2+0.3189943526</f>
        <v>0.22594320837961243</v>
      </c>
      <c r="O10" s="621"/>
      <c r="P10" s="221">
        <f>C9*E10*F9*N10/1000000*O9</f>
        <v>66.470393611375528</v>
      </c>
      <c r="Q10" s="392">
        <f t="shared" ref="Q10" si="10">1.5469182952/G9-0.0051393982*G9+0.0000404677*G9^2+0.2460289003</f>
        <v>0.18931732307317983</v>
      </c>
      <c r="R10" s="659"/>
      <c r="S10" s="221">
        <f t="shared" ref="S10" si="11">C9*E10*F9*Q10/1000000*R9</f>
        <v>111.51216155921465</v>
      </c>
      <c r="T10" s="665"/>
      <c r="U10" s="665"/>
      <c r="V10" s="665"/>
      <c r="W10" s="662"/>
    </row>
    <row r="11" spans="1:23" ht="19.7" customHeight="1">
      <c r="A11" s="541"/>
      <c r="B11" s="540" t="s">
        <v>368</v>
      </c>
      <c r="C11" s="553">
        <f>'ｼｰﾄNO.3（表-3）59頁'!$F$30</f>
        <v>9</v>
      </c>
      <c r="D11" s="133" t="s">
        <v>65</v>
      </c>
      <c r="E11" s="292">
        <f>'ｼｰﾄNO.4（表-4）60頁'!K10</f>
        <v>41.8</v>
      </c>
      <c r="F11" s="543">
        <f>'ｼｰﾄNO.4（表-4）60頁'!C10/1000</f>
        <v>0.82399999999999995</v>
      </c>
      <c r="G11" s="543">
        <f>F11/('ｼｰﾄNO.4（表-4）60頁'!H10/3600)</f>
        <v>24.927731092436975</v>
      </c>
      <c r="H11" s="293">
        <f>-2.71095565/G11-0.09453616*G11+0.00089493*G11^2+3.15403637</f>
        <v>1.2448139350987362</v>
      </c>
      <c r="I11" s="620">
        <v>6000</v>
      </c>
      <c r="J11" s="99">
        <f t="shared" ref="J11" si="12">C11*E11*F11*H11/1000000*I11</f>
        <v>2.3152702677872101</v>
      </c>
      <c r="K11" s="390">
        <f t="shared" ref="K11" si="13">-0.25063622/G11-0.00657231*G11+0.00005332*G11^2+0.29056757</f>
        <v>0.14981288928616346</v>
      </c>
      <c r="L11" s="620">
        <v>1364600</v>
      </c>
      <c r="M11" s="99">
        <f>C11*E11*F11*K11/1000000*L11</f>
        <v>63.372457634878913</v>
      </c>
      <c r="N11" s="390">
        <f t="shared" ref="N11" si="14">0.093055673/G11-0.0002682273*G11+0.00000218*G11^2+0.0173678037</f>
        <v>1.5769157934508494E-2</v>
      </c>
      <c r="O11" s="620">
        <v>5506900</v>
      </c>
      <c r="P11" s="99">
        <f>C11*E11*F11*N11/1000000*O11</f>
        <v>26.919171908389597</v>
      </c>
      <c r="Q11" s="390">
        <f t="shared" ref="Q11" si="15">0.0505593958/G11-0.000357176*G11+0.0000031505*G11^2+0.0131649024</f>
        <v>8.2472488906841519E-3</v>
      </c>
      <c r="R11" s="658">
        <v>11025800</v>
      </c>
      <c r="S11" s="394">
        <f t="shared" ref="S11" si="16">C11*E11*F11*Q11/1000000*R11</f>
        <v>28.188061769672274</v>
      </c>
      <c r="T11" s="665"/>
      <c r="U11" s="665"/>
      <c r="V11" s="665"/>
      <c r="W11" s="662"/>
    </row>
    <row r="12" spans="1:23" ht="19.7" customHeight="1">
      <c r="A12" s="541"/>
      <c r="B12" s="542"/>
      <c r="C12" s="566"/>
      <c r="D12" s="134" t="s">
        <v>66</v>
      </c>
      <c r="E12" s="295">
        <f>'ｼｰﾄNO.4（表-4）60頁'!K11</f>
        <v>2.2000000000000002</v>
      </c>
      <c r="F12" s="544"/>
      <c r="G12" s="544"/>
      <c r="H12" s="296">
        <f>12.28697452/G11-0.05907844*G11+0.00051753*G11^2+2.69979197</f>
        <v>2.0415932365843594</v>
      </c>
      <c r="I12" s="621"/>
      <c r="J12" s="221">
        <f t="shared" ref="J12" si="17">C11*E12*F11*H12/1000000*I11</f>
        <v>0.19985401184112686</v>
      </c>
      <c r="K12" s="391">
        <f t="shared" ref="K12" si="18">9.45345681/G11-0.14325844*G11+0.00124097*G11^2+5.98054622</f>
        <v>3.5598014520360097</v>
      </c>
      <c r="L12" s="621"/>
      <c r="M12" s="221">
        <f>C11*E12*F11*K12/1000000*L11</f>
        <v>79.254429618541934</v>
      </c>
      <c r="N12" s="391">
        <f t="shared" ref="N12" si="19">0.6037810576/G11-0.0052863845*G11+0.0000423961*G11^2+0.3189943526</f>
        <v>0.2377826293315011</v>
      </c>
      <c r="O12" s="621"/>
      <c r="P12" s="221">
        <f>C11*E12*F11*N12/1000000*O11</f>
        <v>21.363859698344267</v>
      </c>
      <c r="Q12" s="392">
        <f t="shared" ref="Q12" si="20">1.5469182952/G11-0.0051393982*G11+0.0000404677*G11^2+0.2460289003</f>
        <v>0.2051177809551076</v>
      </c>
      <c r="R12" s="659"/>
      <c r="S12" s="393">
        <f t="shared" ref="S12" si="21">C11*E12*F11*Q12/1000000*R11</f>
        <v>36.898254488818331</v>
      </c>
      <c r="T12" s="665"/>
      <c r="U12" s="665"/>
      <c r="V12" s="665"/>
      <c r="W12" s="662"/>
    </row>
    <row r="13" spans="1:23" ht="19.7" customHeight="1">
      <c r="A13" s="541"/>
      <c r="B13" s="540" t="s">
        <v>356</v>
      </c>
      <c r="C13" s="553">
        <f>'ｼｰﾄNO.3（表-3）59頁'!$F$30</f>
        <v>9</v>
      </c>
      <c r="D13" s="133" t="s">
        <v>65</v>
      </c>
      <c r="E13" s="294">
        <f>'ｼｰﾄNO.4（表-4）60頁'!K12</f>
        <v>753.34999999999991</v>
      </c>
      <c r="F13" s="543">
        <f>'ｼｰﾄNO.4（表-4）60頁'!C12/1000</f>
        <v>1.054</v>
      </c>
      <c r="G13" s="543">
        <f>F13/('ｼｰﾄNO.4（表-4）60頁'!H12/3600)</f>
        <v>30.6</v>
      </c>
      <c r="H13" s="293">
        <f>-2.71095565/G13-0.09453616*G13+0.00089493*G13^2+3.15403637</f>
        <v>1.0106132069045755</v>
      </c>
      <c r="I13" s="620">
        <v>6000</v>
      </c>
      <c r="J13" s="99">
        <f t="shared" ref="J13" si="22">C13*E13*F13*H13/1000000*I13</f>
        <v>43.332738168437615</v>
      </c>
      <c r="K13" s="390">
        <f t="shared" ref="K13" si="23">-0.25063622/G13-0.00657231*G13+0.00005332*G13^2+0.29056757</f>
        <v>0.13119087305620916</v>
      </c>
      <c r="L13" s="620">
        <v>1364600</v>
      </c>
      <c r="M13" s="99">
        <f>C13*E13*F13*K13/1000000*L13</f>
        <v>1279.3486114663865</v>
      </c>
      <c r="N13" s="390">
        <f t="shared" ref="N13" si="24">0.093055673/G13-0.0002682273*G13+0.00000218*G13^2+0.0173678037</f>
        <v>1.4242348185359476E-2</v>
      </c>
      <c r="O13" s="620">
        <v>5506900</v>
      </c>
      <c r="P13" s="99">
        <f>C13*E13*F13*N13/1000000*O13</f>
        <v>560.4910756012647</v>
      </c>
      <c r="Q13" s="390">
        <f t="shared" ref="Q13" si="25">0.0505593958/G13-0.000357176*G13+0.0000031505*G13^2+0.0131649024</f>
        <v>6.8375868166013053E-3</v>
      </c>
      <c r="R13" s="658">
        <v>11025800</v>
      </c>
      <c r="S13" s="375">
        <f t="shared" ref="S13" si="26">C13*E13*F13*Q13/1000000*R13</f>
        <v>538.75693922824041</v>
      </c>
      <c r="T13" s="665"/>
      <c r="U13" s="665"/>
      <c r="V13" s="665"/>
      <c r="W13" s="662"/>
    </row>
    <row r="14" spans="1:23" ht="19.7" customHeight="1">
      <c r="A14" s="541"/>
      <c r="B14" s="542"/>
      <c r="C14" s="566"/>
      <c r="D14" s="134" t="s">
        <v>66</v>
      </c>
      <c r="E14" s="298">
        <f>'ｼｰﾄNO.4（表-4）60頁'!K13</f>
        <v>39.650000000000006</v>
      </c>
      <c r="F14" s="544"/>
      <c r="G14" s="544"/>
      <c r="H14" s="296">
        <f>12.28697452/G13-0.05907844*G13+0.00051753*G13^2+2.69979197</f>
        <v>1.7781212118326797</v>
      </c>
      <c r="I14" s="621"/>
      <c r="J14" s="221">
        <f t="shared" ref="J14" si="27">C13*E14*F13*H14/1000000*I13</f>
        <v>4.0127206342943182</v>
      </c>
      <c r="K14" s="391">
        <f t="shared" ref="K14" si="28">9.45345681/G13-0.14325844*G13+0.00124097*G13^2+5.98054622</f>
        <v>3.0677691222588237</v>
      </c>
      <c r="L14" s="621"/>
      <c r="M14" s="221">
        <f>C13*E14*F13*K14/1000000*L13</f>
        <v>1574.5423665336648</v>
      </c>
      <c r="N14" s="391">
        <f t="shared" ref="N14" si="29">0.6037810576/G13-0.0052863845*G13+0.0000423961*G13^2+0.3189943526</f>
        <v>0.21666040620711108</v>
      </c>
      <c r="O14" s="621"/>
      <c r="P14" s="221">
        <f>C13*E14*F13*N14/1000000*O13</f>
        <v>448.75887974436336</v>
      </c>
      <c r="Q14" s="392">
        <f t="shared" ref="Q14" si="30">1.5469182952/G13-0.0051393982*G13+0.0000404677*G13^2+0.2460289003</f>
        <v>0.17720853641605228</v>
      </c>
      <c r="R14" s="659"/>
      <c r="S14" s="221">
        <f t="shared" ref="S14" si="31">C13*E14*F13*Q14/1000000*R13</f>
        <v>734.88783970596694</v>
      </c>
      <c r="T14" s="665"/>
      <c r="U14" s="665"/>
      <c r="V14" s="665"/>
      <c r="W14" s="662"/>
    </row>
    <row r="15" spans="1:23" ht="19.7" customHeight="1">
      <c r="A15" s="541"/>
      <c r="B15" s="540" t="s">
        <v>358</v>
      </c>
      <c r="C15" s="553">
        <f>'ｼｰﾄNO.3（表-3）59頁'!$F$30</f>
        <v>9</v>
      </c>
      <c r="D15" s="133" t="s">
        <v>65</v>
      </c>
      <c r="E15" s="292">
        <f>'ｼｰﾄNO.4（表-4）60頁'!K14</f>
        <v>39.9</v>
      </c>
      <c r="F15" s="543">
        <f>'ｼｰﾄNO.4（表-4）60頁'!C14/1000</f>
        <v>0.84799999999999998</v>
      </c>
      <c r="G15" s="543">
        <f>F15/('ｼｰﾄNO.4（表-4）60頁'!H14/3600)</f>
        <v>22.613333333333333</v>
      </c>
      <c r="H15" s="293">
        <f>-2.71095565/G15-0.09453616*G15+0.00089493*G15^2+3.15403637</f>
        <v>1.3540095598927391</v>
      </c>
      <c r="I15" s="620">
        <v>6000</v>
      </c>
      <c r="J15" s="99">
        <f t="shared" ref="J15" si="32">C15*E15*F15*H15/1000000*I15</f>
        <v>2.4739119500876714</v>
      </c>
      <c r="K15" s="390">
        <f t="shared" ref="K15" si="33">-0.25063622/G15-0.00657231*G15+0.00005332*G15^2+0.29056757</f>
        <v>0.15812804080870232</v>
      </c>
      <c r="L15" s="620">
        <v>1364600</v>
      </c>
      <c r="M15" s="99">
        <f>C15*E15*F15*K15/1000000*L15</f>
        <v>65.709099336071944</v>
      </c>
      <c r="N15" s="390">
        <f t="shared" ref="N15" si="34">0.093055673/G15-0.0002682273*G15+0.00000218*G15^2+0.0173678037</f>
        <v>1.6532141236016248E-2</v>
      </c>
      <c r="O15" s="620">
        <v>5506900</v>
      </c>
      <c r="P15" s="99">
        <f>C15*E15*F15*N15/1000000*O15</f>
        <v>27.723467876618166</v>
      </c>
      <c r="Q15" s="390">
        <f t="shared" ref="Q15" si="35">0.0505593958/G15-0.000357176*G15+0.0000031505*G15^2+0.0131649024</f>
        <v>8.9348334326093265E-3</v>
      </c>
      <c r="R15" s="658">
        <v>11025800</v>
      </c>
      <c r="S15" s="393">
        <f t="shared" ref="S15" si="36">C15*E15*F15*Q15/1000000*R15</f>
        <v>29.999072557387411</v>
      </c>
      <c r="T15" s="665"/>
      <c r="U15" s="665"/>
      <c r="V15" s="665"/>
      <c r="W15" s="662"/>
    </row>
    <row r="16" spans="1:23" ht="19.7" customHeight="1">
      <c r="A16" s="541"/>
      <c r="B16" s="542"/>
      <c r="C16" s="566"/>
      <c r="D16" s="134" t="s">
        <v>66</v>
      </c>
      <c r="E16" s="295">
        <f>'ｼｰﾄNO.4（表-4）60頁'!K15</f>
        <v>2.1</v>
      </c>
      <c r="F16" s="544"/>
      <c r="G16" s="544"/>
      <c r="H16" s="296">
        <f>12.28697452/G15-0.05907844*G15+0.00051753*G15^2+2.69979197</f>
        <v>2.1718280043001132</v>
      </c>
      <c r="I16" s="621"/>
      <c r="J16" s="221">
        <f t="shared" ref="J16" si="37">C15*E16*F15*H16/1000000*I15</f>
        <v>0.20884993074311264</v>
      </c>
      <c r="K16" s="391">
        <f t="shared" ref="K16" si="38">9.45345681/G15-0.14325844*G15+0.00124097*G15^2+5.98054622</f>
        <v>3.7936292257149553</v>
      </c>
      <c r="L16" s="621"/>
      <c r="M16" s="221">
        <f>C15*E16*F15*K16/1000000*L15</f>
        <v>82.969391653776412</v>
      </c>
      <c r="N16" s="391">
        <f t="shared" ref="N16" si="39">0.6037810576/G15-0.0052863845*G15+0.0000423961*G15^2+0.3189943526</f>
        <v>0.24783159171834482</v>
      </c>
      <c r="O16" s="621"/>
      <c r="P16" s="221">
        <f>C15*E16*F15*N16/1000000*O15</f>
        <v>21.873662798094248</v>
      </c>
      <c r="Q16" s="392">
        <f t="shared" ref="Q16" si="40">1.5469182952/G15-0.0051393982*G15+0.0000404677*G15^2+0.2460289003</f>
        <v>0.21891100770692318</v>
      </c>
      <c r="R16" s="659"/>
      <c r="S16" s="221">
        <f t="shared" ref="S16" si="41">C15*E16*F15*Q16/1000000*R15</f>
        <v>38.684355616894578</v>
      </c>
      <c r="T16" s="665"/>
      <c r="U16" s="665"/>
      <c r="V16" s="665"/>
      <c r="W16" s="662"/>
    </row>
    <row r="17" spans="1:23" ht="19.7" customHeight="1">
      <c r="A17" s="541"/>
      <c r="B17" s="540" t="s">
        <v>369</v>
      </c>
      <c r="C17" s="553">
        <f>'ｼｰﾄNO.3（表-3）59頁'!$F$30</f>
        <v>9</v>
      </c>
      <c r="D17" s="133" t="s">
        <v>65</v>
      </c>
      <c r="E17" s="294">
        <f>'ｼｰﾄNO.4（表-4）60頁'!K16</f>
        <v>147.25</v>
      </c>
      <c r="F17" s="543">
        <f>'ｼｰﾄNO.4（表-4）60頁'!C16/1000</f>
        <v>0.91</v>
      </c>
      <c r="G17" s="543">
        <f>F17/('ｼｰﾄNO.4（表-4）60頁'!H16/3600)</f>
        <v>30.055045871559635</v>
      </c>
      <c r="H17" s="293">
        <f>-2.71095565/G17-0.09453616*G17+0.00089493*G17^2+3.15403637</f>
        <v>1.030943504144429</v>
      </c>
      <c r="I17" s="620">
        <v>6000</v>
      </c>
      <c r="J17" s="99">
        <f t="shared" ref="J17" si="42">C17*E17*F17*H17/1000000*I17</f>
        <v>7.4597680186160291</v>
      </c>
      <c r="K17" s="390">
        <f t="shared" ref="K17" si="43">-0.25063622/G17-0.00657231*G17+0.00005332*G17^2+0.29056757</f>
        <v>0.13286151647220723</v>
      </c>
      <c r="L17" s="620">
        <v>1364600</v>
      </c>
      <c r="M17" s="99">
        <f>C17*E17*F17*K17/1000000*L17</f>
        <v>218.6471280922656</v>
      </c>
      <c r="N17" s="390">
        <f t="shared" ref="N17" si="44">0.093055673/G17-0.0002682273*G17+0.00000218*G17^2+0.0173678037</f>
        <v>1.4371601212148963E-2</v>
      </c>
      <c r="O17" s="620">
        <v>5506900</v>
      </c>
      <c r="P17" s="99">
        <f>C17*E17*F17*N17/1000000*O17</f>
        <v>95.44464196566976</v>
      </c>
      <c r="Q17" s="390">
        <f t="shared" ref="Q17" si="45">0.0505593958/G17-0.000357176*G17+0.0000031505*G17^2+0.0131649024</f>
        <v>6.9580527421799696E-3</v>
      </c>
      <c r="R17" s="658">
        <v>11025800</v>
      </c>
      <c r="S17" s="375">
        <f t="shared" ref="S17" si="46">C17*E17*F17*Q17/1000000*R17</f>
        <v>92.520299940018546</v>
      </c>
      <c r="T17" s="665"/>
      <c r="U17" s="665"/>
      <c r="V17" s="665"/>
      <c r="W17" s="662"/>
    </row>
    <row r="18" spans="1:23" ht="19.7" customHeight="1">
      <c r="A18" s="541"/>
      <c r="B18" s="542"/>
      <c r="C18" s="566"/>
      <c r="D18" s="134" t="s">
        <v>66</v>
      </c>
      <c r="E18" s="298">
        <f>'ｼｰﾄNO.4（表-4）60頁'!K17</f>
        <v>7.75</v>
      </c>
      <c r="F18" s="544"/>
      <c r="G18" s="544"/>
      <c r="H18" s="296">
        <f>12.28697452/G17-0.05907844*G17+0.00051753*G17^2+2.69979197</f>
        <v>1.8004902841038075</v>
      </c>
      <c r="I18" s="621"/>
      <c r="J18" s="221">
        <f t="shared" ref="J18" si="47">C17*E18*F17*H18/1000000*I17</f>
        <v>0.68568971734667361</v>
      </c>
      <c r="K18" s="391">
        <f t="shared" ref="K18" si="48">9.45345681/G17-0.14325844*G17+0.00124097*G17^2+5.98054622</f>
        <v>3.11042070390894</v>
      </c>
      <c r="L18" s="621"/>
      <c r="M18" s="221">
        <f>C17*E18*F17*K18/1000000*L17</f>
        <v>269.40776267464264</v>
      </c>
      <c r="N18" s="391">
        <f t="shared" ref="N18" si="49">0.6037810576/G17-0.0052863845*G17+0.0000423961*G17^2+0.3189943526</f>
        <v>0.21849764061943486</v>
      </c>
      <c r="O18" s="621"/>
      <c r="P18" s="221">
        <f>C17*E18*F17*N18/1000000*O17</f>
        <v>76.372946499504039</v>
      </c>
      <c r="Q18" s="392">
        <f t="shared" ref="Q18" si="50">1.5469182952/G17-0.0051393982*G17+0.0000404677*G17^2+0.2460289003</f>
        <v>0.17958826277182416</v>
      </c>
      <c r="R18" s="659"/>
      <c r="S18" s="221">
        <f t="shared" ref="S18" si="51">C17*E18*F17*Q18/1000000*R17</f>
        <v>125.68216812965736</v>
      </c>
      <c r="T18" s="665"/>
      <c r="U18" s="665"/>
      <c r="V18" s="665"/>
      <c r="W18" s="662"/>
    </row>
    <row r="19" spans="1:23" ht="19.7" customHeight="1">
      <c r="A19" s="541"/>
      <c r="B19" s="540" t="s">
        <v>360</v>
      </c>
      <c r="C19" s="553">
        <f>'ｼｰﾄNO.3（表-3）59頁'!$F$30</f>
        <v>9</v>
      </c>
      <c r="D19" s="133" t="s">
        <v>65</v>
      </c>
      <c r="E19" s="292">
        <f>'ｼｰﾄNO.4（表-4）60頁'!K18</f>
        <v>54.15</v>
      </c>
      <c r="F19" s="543">
        <f>'ｼｰﾄNO.4（表-4）60頁'!C18/1000</f>
        <v>0.76100000000000001</v>
      </c>
      <c r="G19" s="543">
        <f>F19/('ｼｰﾄNO.4（表-4）60頁'!H18/3600)</f>
        <v>22.641322314049585</v>
      </c>
      <c r="H19" s="293">
        <f>-2.71095565/G19-0.09453616*G19+0.00089493*G19^2+3.15403637</f>
        <v>1.3526453340932798</v>
      </c>
      <c r="I19" s="620">
        <v>6000</v>
      </c>
      <c r="J19" s="99">
        <f t="shared" ref="J19" si="52">C19*E19*F19*H19/1000000*I19</f>
        <v>3.009960638502263</v>
      </c>
      <c r="K19" s="390">
        <f t="shared" ref="K19" si="53">-0.25063622/G19-0.00657231*G19+0.00005332*G19^2+0.29056757</f>
        <v>0.15802532673956798</v>
      </c>
      <c r="L19" s="620">
        <v>1364600</v>
      </c>
      <c r="M19" s="99">
        <f>C19*E19*F19*K19/1000000*L19</f>
        <v>79.975633903976131</v>
      </c>
      <c r="N19" s="390">
        <f t="shared" ref="N19" si="54">0.093055673/G19-0.0002682273*G19+0.00000218*G19^2+0.0173678037</f>
        <v>1.6522308062949704E-2</v>
      </c>
      <c r="O19" s="620">
        <v>5506900</v>
      </c>
      <c r="P19" s="99">
        <f>C19*E19*F19*N19/1000000*O19</f>
        <v>33.744541593523081</v>
      </c>
      <c r="Q19" s="390">
        <f t="shared" ref="Q19" si="55">0.0505593958/G19-0.000357176*G19+0.0000031505*G19^2+0.0131649024</f>
        <v>8.9260630618954936E-3</v>
      </c>
      <c r="R19" s="658">
        <v>11025800</v>
      </c>
      <c r="S19" s="394">
        <f t="shared" ref="S19" si="56">C19*E19*F19*Q19/1000000*R19</f>
        <v>36.500237334720801</v>
      </c>
      <c r="T19" s="665"/>
      <c r="U19" s="665"/>
      <c r="V19" s="665"/>
      <c r="W19" s="662"/>
    </row>
    <row r="20" spans="1:23" ht="19.7" customHeight="1">
      <c r="A20" s="541"/>
      <c r="B20" s="542"/>
      <c r="C20" s="566"/>
      <c r="D20" s="134" t="s">
        <v>66</v>
      </c>
      <c r="E20" s="295">
        <f>'ｼｰﾄNO.4（表-4）60頁'!K19</f>
        <v>2.85</v>
      </c>
      <c r="F20" s="544"/>
      <c r="G20" s="544"/>
      <c r="H20" s="296">
        <f>12.28697452/G19-0.05907844*G19+0.00051753*G19^2+2.69979197</f>
        <v>2.1701582938483104</v>
      </c>
      <c r="I20" s="621"/>
      <c r="J20" s="221">
        <f t="shared" ref="J20" si="57">C19*E20*F19*H20/1000000*I19</f>
        <v>0.2541643820430971</v>
      </c>
      <c r="K20" s="391">
        <f t="shared" ref="K20" si="58">9.45345681/G19-0.14325844*G19+0.00124097*G19^2+5.98054622</f>
        <v>3.7906746331889405</v>
      </c>
      <c r="L20" s="621"/>
      <c r="M20" s="221">
        <f>C19*E20*F19*K20/1000000*L19</f>
        <v>100.97035941474519</v>
      </c>
      <c r="N20" s="391">
        <f t="shared" ref="N20" si="59">0.6037810576/G19-0.0052863845*G19+0.0000423961*G19^2+0.3189943526</f>
        <v>0.24770432489329391</v>
      </c>
      <c r="O20" s="621"/>
      <c r="P20" s="221">
        <f>C19*E20*F19*N20/1000000*O19</f>
        <v>26.6264216916239</v>
      </c>
      <c r="Q20" s="392">
        <f t="shared" ref="Q20" si="60">1.5469182952/G19-0.0051393982*G19+0.0000404677*G19^2+0.2460289003</f>
        <v>0.21873385436050466</v>
      </c>
      <c r="R20" s="659"/>
      <c r="S20" s="393">
        <f t="shared" ref="S20" si="61">C19*E20*F19*Q20/1000000*R19</f>
        <v>47.0758469765792</v>
      </c>
      <c r="T20" s="665"/>
      <c r="U20" s="665"/>
      <c r="V20" s="665"/>
      <c r="W20" s="662"/>
    </row>
    <row r="21" spans="1:23" ht="19.7" customHeight="1">
      <c r="A21" s="541"/>
      <c r="B21" s="540" t="s">
        <v>232</v>
      </c>
      <c r="C21" s="553">
        <f>'ｼｰﾄNO.3（表-3）59頁'!$F$30</f>
        <v>9</v>
      </c>
      <c r="D21" s="133" t="s">
        <v>65</v>
      </c>
      <c r="E21" s="294">
        <f>'ｼｰﾄNO.4（表-4）60頁'!K20</f>
        <v>158.65</v>
      </c>
      <c r="F21" s="543">
        <f>'ｼｰﾄNO.4（表-4）60頁'!C20/1000</f>
        <v>0.84799999999999998</v>
      </c>
      <c r="G21" s="543">
        <f>F21/('ｼｰﾄNO.4（表-4）60頁'!H20/3600)</f>
        <v>27.752727272727274</v>
      </c>
      <c r="H21" s="293">
        <f>-2.71095565/G21-0.09453616*G21+0.00089493*G21^2+3.15403637</f>
        <v>1.1220051084994243</v>
      </c>
      <c r="I21" s="620">
        <v>6000</v>
      </c>
      <c r="J21" s="99">
        <f t="shared" ref="J21" si="62">C21*E21*F21*H21/1000000*I21</f>
        <v>8.1512558103415547</v>
      </c>
      <c r="K21" s="390">
        <f t="shared" ref="K21" si="63">-0.25063622/G21-0.00657231*G21+0.00005332*G21^2+0.29056757</f>
        <v>0.14020479834032479</v>
      </c>
      <c r="L21" s="620">
        <v>1364600</v>
      </c>
      <c r="M21" s="99">
        <f>C21*E21*F21*K21/1000000*L21</f>
        <v>231.6576690649122</v>
      </c>
      <c r="N21" s="390">
        <f t="shared" ref="N21" si="64">0.093055673/G21-0.0002682273*G21+0.00000218*G21^2+0.0173678037</f>
        <v>1.4955858884601478E-2</v>
      </c>
      <c r="O21" s="620">
        <v>5506900</v>
      </c>
      <c r="P21" s="99">
        <f>C21*E21*F21*N21/1000000*O21</f>
        <v>99.72337933332777</v>
      </c>
      <c r="Q21" s="390">
        <f t="shared" ref="Q21" si="65">0.0505593958/G21-0.000357176*G21+0.0000031505*G21^2+0.0131649024</f>
        <v>7.5006342486333456E-3</v>
      </c>
      <c r="R21" s="658">
        <v>11025800</v>
      </c>
      <c r="S21" s="375">
        <f t="shared" ref="S21" si="66">C21*E21*F21*Q21/1000000*R21</f>
        <v>100.13514641204659</v>
      </c>
      <c r="T21" s="665"/>
      <c r="U21" s="665"/>
      <c r="V21" s="665"/>
      <c r="W21" s="662"/>
    </row>
    <row r="22" spans="1:23" ht="19.7" customHeight="1">
      <c r="A22" s="541"/>
      <c r="B22" s="542"/>
      <c r="C22" s="566"/>
      <c r="D22" s="134" t="s">
        <v>66</v>
      </c>
      <c r="E22" s="298">
        <f>'ｼｰﾄNO.4（表-4）60頁'!K21</f>
        <v>8.35</v>
      </c>
      <c r="F22" s="544"/>
      <c r="G22" s="544"/>
      <c r="H22" s="296">
        <f>12.28697452/G21-0.05907844*G21+0.00051753*G21^2+2.69979197</f>
        <v>1.9015432666737011</v>
      </c>
      <c r="I22" s="621"/>
      <c r="J22" s="221">
        <f t="shared" ref="J22" si="67">C21*E22*F21*H22/1000000*I21</f>
        <v>0.72708016838380962</v>
      </c>
      <c r="K22" s="391">
        <f t="shared" ref="K22" si="68">9.45345681/G21-0.14325844*G21+0.00124097*G21^2+5.98054622</f>
        <v>3.3011777457107159</v>
      </c>
      <c r="L22" s="621"/>
      <c r="M22" s="221">
        <f>C21*E22*F21*K22/1000000*L21</f>
        <v>287.07747177998772</v>
      </c>
      <c r="N22" s="391">
        <f t="shared" ref="N22" si="69">0.6037810576/G21-0.0052863845*G21+0.0000423961*G21^2+0.3189943526</f>
        <v>0.22669256740568483</v>
      </c>
      <c r="O22" s="621"/>
      <c r="P22" s="221">
        <f>C21*E22*F21*N22/1000000*O21</f>
        <v>79.555334928478416</v>
      </c>
      <c r="Q22" s="392">
        <f t="shared" ref="Q22" si="70">1.5469182952/G21-0.0051393982*G21+0.0000404677*G21^2+0.2460289003</f>
        <v>0.190304692944187</v>
      </c>
      <c r="R22" s="659"/>
      <c r="S22" s="221">
        <f t="shared" ref="S22" si="71">C21*E22*F21*Q22/1000000*R21</f>
        <v>133.71632920900811</v>
      </c>
      <c r="T22" s="665"/>
      <c r="U22" s="665"/>
      <c r="V22" s="665"/>
      <c r="W22" s="662"/>
    </row>
    <row r="23" spans="1:23" ht="19.7" customHeight="1">
      <c r="A23" s="541"/>
      <c r="B23" s="540" t="s">
        <v>370</v>
      </c>
      <c r="C23" s="553">
        <f>'ｼｰﾄNO.3（表-3）59頁'!$F$30</f>
        <v>9</v>
      </c>
      <c r="D23" s="133" t="s">
        <v>65</v>
      </c>
      <c r="E23" s="292">
        <f>'ｼｰﾄNO.4（表-4）60頁'!K22</f>
        <v>738.15</v>
      </c>
      <c r="F23" s="543">
        <f>'ｼｰﾄNO.4（表-4）60頁'!C22/1000</f>
        <v>0.61699999999999999</v>
      </c>
      <c r="G23" s="543">
        <f>F23/('ｼｰﾄNO.4（表-4）60頁'!H22/3600)</f>
        <v>27.087804878048779</v>
      </c>
      <c r="H23" s="293">
        <f>-2.71095565/G23-0.09453616*G23+0.00089493*G23^2+3.15403637</f>
        <v>1.1498331610692509</v>
      </c>
      <c r="I23" s="620">
        <v>6000</v>
      </c>
      <c r="J23" s="99">
        <f t="shared" ref="J23" si="72">C23*E23*F23*H23/1000000*I23</f>
        <v>28.278630771441986</v>
      </c>
      <c r="K23" s="390">
        <f t="shared" ref="K23" si="73">-0.25063622/G23-0.00657231*G23+0.00005332*G23^2+0.29056757</f>
        <v>0.14240889225716619</v>
      </c>
      <c r="L23" s="620">
        <v>1364600</v>
      </c>
      <c r="M23" s="99">
        <f>C23*E23*F23*K23/1000000*L23</f>
        <v>796.55317449075415</v>
      </c>
      <c r="N23" s="390">
        <f t="shared" ref="N23" si="74">0.093055673/G23-0.0002682273*G23+0.00000218*G23^2+0.0173678037</f>
        <v>1.5137022719626959E-2</v>
      </c>
      <c r="O23" s="620">
        <v>5506900</v>
      </c>
      <c r="P23" s="99">
        <f>C23*E23*F23*N23/1000000*O23</f>
        <v>341.68030848427588</v>
      </c>
      <c r="Q23" s="390">
        <f t="shared" ref="Q23" si="75">0.0505593958/G23-0.000357176*G23+0.0000031505*G23^2+0.0131649024</f>
        <v>7.6679656699207913E-3</v>
      </c>
      <c r="R23" s="658">
        <v>11025800</v>
      </c>
      <c r="S23" s="394">
        <f t="shared" ref="S23" si="76">C23*E23*F23*Q23/1000000*R23</f>
        <v>346.54733852967382</v>
      </c>
      <c r="T23" s="665"/>
      <c r="U23" s="665"/>
      <c r="V23" s="665"/>
      <c r="W23" s="662"/>
    </row>
    <row r="24" spans="1:23" ht="19.7" customHeight="1">
      <c r="A24" s="541"/>
      <c r="B24" s="542"/>
      <c r="C24" s="566"/>
      <c r="D24" s="134" t="s">
        <v>66</v>
      </c>
      <c r="E24" s="295">
        <f>'ｼｰﾄNO.4（表-4）60頁'!K23</f>
        <v>38.85</v>
      </c>
      <c r="F24" s="544"/>
      <c r="G24" s="544"/>
      <c r="H24" s="296">
        <f>12.28697452/G23-0.05907844*G23+0.00051753*G23^2+2.69979197</f>
        <v>1.9328219392155921</v>
      </c>
      <c r="I24" s="621"/>
      <c r="J24" s="221">
        <f t="shared" ref="J24" si="77">C23*E24*F23*H24/1000000*I23</f>
        <v>2.5018530292550012</v>
      </c>
      <c r="K24" s="391">
        <f t="shared" ref="K24" si="78">9.45345681/G23-0.14325844*G23+0.00124097*G23^2+5.98054622</f>
        <v>3.3595433546140332</v>
      </c>
      <c r="L24" s="621"/>
      <c r="M24" s="221">
        <f>C23*E24*F23*K24/1000000*L23</f>
        <v>989.01826820899225</v>
      </c>
      <c r="N24" s="391">
        <f t="shared" ref="N24" si="79">0.6037810576/G23-0.0052863845*G23+0.0000423961*G23^2+0.3189943526</f>
        <v>0.22919567839342808</v>
      </c>
      <c r="O24" s="621"/>
      <c r="P24" s="221">
        <f>C23*E24*F23*N24/1000000*O23</f>
        <v>272.29038833511652</v>
      </c>
      <c r="Q24" s="392">
        <f t="shared" ref="Q24" si="80">1.5469182952/G23-0.0051393982*G23+0.0000404677*G23^2+0.2460289003</f>
        <v>0.19361458064850001</v>
      </c>
      <c r="R24" s="659"/>
      <c r="S24" s="393">
        <f t="shared" ref="S24" si="81">C23*E24*F23*Q24/1000000*R23</f>
        <v>460.53948069253465</v>
      </c>
      <c r="T24" s="665"/>
      <c r="U24" s="665"/>
      <c r="V24" s="665"/>
      <c r="W24" s="662"/>
    </row>
    <row r="25" spans="1:23" ht="19.7" customHeight="1">
      <c r="A25" s="541"/>
      <c r="B25" s="540" t="s">
        <v>255</v>
      </c>
      <c r="C25" s="553">
        <f>'ｼｰﾄNO.3（表-3）59頁'!$F$30</f>
        <v>9</v>
      </c>
      <c r="D25" s="133" t="s">
        <v>65</v>
      </c>
      <c r="E25" s="294">
        <f>'ｼｰﾄNO.4（表-4）60頁'!K24</f>
        <v>133</v>
      </c>
      <c r="F25" s="543">
        <f>'ｼｰﾄNO.4（表-4）60頁'!C24/1000</f>
        <v>0.82399999999999995</v>
      </c>
      <c r="G25" s="543">
        <f>F25/('ｼｰﾄNO.4（表-4）60頁'!H24/3600)</f>
        <v>28.523076923076921</v>
      </c>
      <c r="H25" s="293">
        <f>-2.71095565/G25-0.09453616*G25+0.00089493*G25^2+3.15403637</f>
        <v>1.090614460615126</v>
      </c>
      <c r="I25" s="620">
        <v>6000</v>
      </c>
      <c r="J25" s="99">
        <f t="shared" ref="J25" si="82">C25*E25*F25*H25/1000000*I25</f>
        <v>6.4542214782575762</v>
      </c>
      <c r="K25" s="390">
        <f t="shared" ref="K25" si="83">-0.25063622/G25-0.00657231*G25+0.00005332*G25^2+0.29056757</f>
        <v>0.1376972627690112</v>
      </c>
      <c r="L25" s="620">
        <v>1364600</v>
      </c>
      <c r="M25" s="99">
        <f>C25*E25*F25*K25/1000000*L25</f>
        <v>185.33269294035446</v>
      </c>
      <c r="N25" s="390">
        <f t="shared" ref="N25" si="84">0.093055673/G25-0.0002682273*G25+0.00000218*G25^2+0.0173678037</f>
        <v>1.4753179146136358E-2</v>
      </c>
      <c r="O25" s="620">
        <v>5506900</v>
      </c>
      <c r="P25" s="99">
        <f>C25*E25*F25*N25/1000000*O25</f>
        <v>80.133510413074973</v>
      </c>
      <c r="Q25" s="390">
        <f t="shared" ref="Q25" si="85">0.0505593958/G25-0.000357176*G25+0.0000031505*G25^2+0.0131649024</f>
        <v>7.3128619003372843E-3</v>
      </c>
      <c r="R25" s="658">
        <v>11025800</v>
      </c>
      <c r="S25" s="375">
        <f t="shared" ref="S25" si="86">C25*E25*F25*Q25/1000000*R25</f>
        <v>79.527777292467448</v>
      </c>
      <c r="T25" s="665"/>
      <c r="U25" s="665"/>
      <c r="V25" s="665"/>
      <c r="W25" s="662"/>
    </row>
    <row r="26" spans="1:23" ht="19.7" customHeight="1">
      <c r="A26" s="541"/>
      <c r="B26" s="542"/>
      <c r="C26" s="566"/>
      <c r="D26" s="134" t="s">
        <v>66</v>
      </c>
      <c r="E26" s="298">
        <f>'ｼｰﾄNO.4（表-4）60頁'!K25</f>
        <v>7</v>
      </c>
      <c r="F26" s="544"/>
      <c r="G26" s="544"/>
      <c r="H26" s="296">
        <f>12.28697452/G25-0.05907844*G25+0.00051753*G25^2+2.69979197</f>
        <v>1.8665109593380467</v>
      </c>
      <c r="I26" s="621"/>
      <c r="J26" s="221">
        <f t="shared" ref="J26" si="87">C25*E26*F25*H26/1000000*I25</f>
        <v>0.58136590152694001</v>
      </c>
      <c r="K26" s="391">
        <f t="shared" ref="K26" si="88">9.45345681/G25-0.14325844*G25+0.00124097*G25^2+5.98054622</f>
        <v>3.2354174852760047</v>
      </c>
      <c r="L26" s="621"/>
      <c r="M26" s="221">
        <f>C25*E26*F25*K26/1000000*L25</f>
        <v>229.19411195956124</v>
      </c>
      <c r="N26" s="391">
        <f t="shared" ref="N26" si="89">0.6037810576/G25-0.0052863845*G25+0.0000423961*G25^2+0.3189943526</f>
        <v>0.22387058289813042</v>
      </c>
      <c r="O26" s="621"/>
      <c r="P26" s="221">
        <f>C25*E26*F25*N26/1000000*O25</f>
        <v>63.998822177668508</v>
      </c>
      <c r="Q26" s="392">
        <f t="shared" ref="Q26" si="90">1.5469182952/G25-0.0051393982*G25+0.0000404677*G25^2+0.2460289003</f>
        <v>0.18659451238229957</v>
      </c>
      <c r="R26" s="659"/>
      <c r="S26" s="221">
        <f t="shared" ref="S26" si="91">C25*E26*F25*Q26/1000000*R25</f>
        <v>106.80134914832047</v>
      </c>
      <c r="T26" s="665"/>
      <c r="U26" s="665"/>
      <c r="V26" s="665"/>
      <c r="W26" s="662"/>
    </row>
    <row r="27" spans="1:23" ht="19.7" customHeight="1">
      <c r="A27" s="541"/>
      <c r="B27" s="540" t="s">
        <v>362</v>
      </c>
      <c r="C27" s="553">
        <f>'ｼｰﾄNO.3（表-3）59頁'!$F$30</f>
        <v>9</v>
      </c>
      <c r="D27" s="133" t="s">
        <v>65</v>
      </c>
      <c r="E27" s="292">
        <f>'ｼｰﾄNO.4（表-4）60頁'!K26</f>
        <v>47.5</v>
      </c>
      <c r="F27" s="543">
        <f>'ｼｰﾄNO.4（表-4）60頁'!C26/1000</f>
        <v>0.91</v>
      </c>
      <c r="G27" s="543">
        <f>F27/('ｼｰﾄNO.4（表-4）60頁'!H26/3600)</f>
        <v>22.90909090909091</v>
      </c>
      <c r="H27" s="293">
        <f>-2.71095565/G27-0.09453616*G27+0.00089493*G27^2+3.15403637</f>
        <v>1.3396464522592815</v>
      </c>
      <c r="I27" s="620">
        <v>6000</v>
      </c>
      <c r="J27" s="99">
        <f t="shared" ref="J27" si="92">C27*E27*F27*H27/1000000*I27</f>
        <v>3.1269357665410022</v>
      </c>
      <c r="K27" s="390">
        <f t="shared" ref="K27" si="93">-0.25063622/G27-0.00657231*G27+0.00005332*G27^2+0.29056757</f>
        <v>0.15704519892234028</v>
      </c>
      <c r="L27" s="620">
        <v>1364600</v>
      </c>
      <c r="M27" s="99">
        <f>C27*E27*F27*K27/1000000*L27</f>
        <v>83.369566313787772</v>
      </c>
      <c r="N27" s="390">
        <f t="shared" ref="N27" si="94">0.093055673/G27-0.0002682273*G27+0.00000218*G27^2+0.0173678037</f>
        <v>1.6429035733051291E-2</v>
      </c>
      <c r="O27" s="620">
        <v>5506900</v>
      </c>
      <c r="P27" s="99">
        <f>C27*E27*F27*N27/1000000*O27</f>
        <v>35.196280952096281</v>
      </c>
      <c r="Q27" s="390">
        <f t="shared" ref="Q27" si="95">0.0505593958/G27-0.000357176*G27+0.0000031505*G27^2+0.0131649024</f>
        <v>8.8427484176374117E-3</v>
      </c>
      <c r="R27" s="658">
        <v>11025800</v>
      </c>
      <c r="S27" s="394">
        <f t="shared" ref="S27" si="96">C27*E27*F27*Q27/1000000*R27</f>
        <v>37.929305530127159</v>
      </c>
      <c r="T27" s="665"/>
      <c r="U27" s="665"/>
      <c r="V27" s="665"/>
      <c r="W27" s="662"/>
    </row>
    <row r="28" spans="1:23" ht="19.7" customHeight="1">
      <c r="A28" s="541"/>
      <c r="B28" s="542"/>
      <c r="C28" s="566"/>
      <c r="D28" s="134" t="s">
        <v>66</v>
      </c>
      <c r="E28" s="295">
        <f>'ｼｰﾄNO.4（表-4）60頁'!K27</f>
        <v>2.5</v>
      </c>
      <c r="F28" s="544"/>
      <c r="G28" s="544"/>
      <c r="H28" s="296">
        <f>12.28697452/G27-0.05907844*G27+0.00051753*G27^2+2.69979197</f>
        <v>2.154308237381608</v>
      </c>
      <c r="I28" s="621"/>
      <c r="J28" s="221">
        <f t="shared" ref="J28" si="97">C27*E28*F27*H28/1000000*I27</f>
        <v>0.26465676696233059</v>
      </c>
      <c r="K28" s="391">
        <f t="shared" ref="K28" si="98">9.45345681/G27-0.14325844*G27+0.00124097*G27^2+5.98054622</f>
        <v>3.7625703620867768</v>
      </c>
      <c r="L28" s="621"/>
      <c r="M28" s="221">
        <f>C27*E28*F27*K28/1000000*L27</f>
        <v>105.12691199222152</v>
      </c>
      <c r="N28" s="391">
        <f t="shared" ref="N28" si="99">0.6037810576/G27-0.0052863845*G27+0.0000423961*G27^2+0.3189943526</f>
        <v>0.24649420636382</v>
      </c>
      <c r="O28" s="621"/>
      <c r="P28" s="221">
        <f>C27*E28*F27*N28/1000000*O27</f>
        <v>27.793152899385248</v>
      </c>
      <c r="Q28" s="392">
        <f t="shared" ref="Q28" si="100">1.5469182952/G27-0.0051393982*G27+0.0000404677*G27^2+0.2460289003</f>
        <v>0.2170526901967598</v>
      </c>
      <c r="R28" s="659"/>
      <c r="S28" s="393">
        <f t="shared" ref="S28" si="101">C27*E28*F27*Q28/1000000*R27</f>
        <v>49.000351318425125</v>
      </c>
      <c r="T28" s="665"/>
      <c r="U28" s="665"/>
      <c r="V28" s="665"/>
      <c r="W28" s="662"/>
    </row>
    <row r="29" spans="1:23" ht="19.7" customHeight="1">
      <c r="A29" s="541"/>
      <c r="B29" s="540" t="s">
        <v>363</v>
      </c>
      <c r="C29" s="553">
        <f>'ｼｰﾄNO.3（表-3）59頁'!$F$30</f>
        <v>9</v>
      </c>
      <c r="D29" s="133" t="s">
        <v>65</v>
      </c>
      <c r="E29" s="294">
        <f>'ｼｰﾄNO.4（表-4）60頁'!K28</f>
        <v>743.84999999999991</v>
      </c>
      <c r="F29" s="543">
        <f>'ｼｰﾄNO.4（表-4）60頁'!C28/1000</f>
        <v>0.61699999999999999</v>
      </c>
      <c r="G29" s="543">
        <f>F29/('ｼｰﾄNO.4（表-4）60頁'!H28/3600)</f>
        <v>27.087804878048779</v>
      </c>
      <c r="H29" s="293">
        <f>-2.71095565/G29-0.09453616*G29+0.00089493*G29^2+3.15403637</f>
        <v>1.1498331610692509</v>
      </c>
      <c r="I29" s="620">
        <v>6000</v>
      </c>
      <c r="J29" s="99">
        <f t="shared" ref="J29" si="102">C29*E29*F29*H29/1000000*I29</f>
        <v>28.496998576626869</v>
      </c>
      <c r="K29" s="390">
        <f t="shared" ref="K29" si="103">-0.25063622/G29-0.00657231*G29+0.00005332*G29^2+0.29056757</f>
        <v>0.14240889225716619</v>
      </c>
      <c r="L29" s="620">
        <v>1364600</v>
      </c>
      <c r="M29" s="99">
        <f>C29*E29*F29*K29/1000000*L29</f>
        <v>802.70416425516157</v>
      </c>
      <c r="N29" s="390">
        <f t="shared" ref="N29" si="104">0.093055673/G29-0.0002682273*G29+0.00000218*G29^2+0.0173678037</f>
        <v>1.5137022719626959E-2</v>
      </c>
      <c r="O29" s="620">
        <v>5506900</v>
      </c>
      <c r="P29" s="99">
        <f>C29*E29*F29*N29/1000000*O29</f>
        <v>344.31876646484949</v>
      </c>
      <c r="Q29" s="390">
        <f t="shared" ref="Q29" si="105">0.0505593958/G29-0.000357176*G29+0.0000031505*G29^2+0.0131649024</f>
        <v>7.6679656699207913E-3</v>
      </c>
      <c r="R29" s="658">
        <v>11025800</v>
      </c>
      <c r="S29" s="375">
        <f t="shared" ref="S29" si="106">C29*E29*F29*Q29/1000000*R29</f>
        <v>349.22337975384124</v>
      </c>
      <c r="T29" s="665"/>
      <c r="U29" s="665"/>
      <c r="V29" s="665"/>
      <c r="W29" s="662"/>
    </row>
    <row r="30" spans="1:23" ht="19.7" customHeight="1">
      <c r="A30" s="542"/>
      <c r="B30" s="542"/>
      <c r="C30" s="566"/>
      <c r="D30" s="134" t="s">
        <v>66</v>
      </c>
      <c r="E30" s="395">
        <f>'ｼｰﾄNO.4（表-4）60頁'!K29</f>
        <v>39.150000000000006</v>
      </c>
      <c r="F30" s="544"/>
      <c r="G30" s="544"/>
      <c r="H30" s="296">
        <f>12.28697452/G29-0.05907844*G29+0.00051753*G29^2+2.69979197</f>
        <v>1.9328219392155921</v>
      </c>
      <c r="I30" s="621"/>
      <c r="J30" s="221">
        <f t="shared" ref="J30" si="107">C29*E30*F29*H30/1000000*I29</f>
        <v>2.5211723576662366</v>
      </c>
      <c r="K30" s="391">
        <f t="shared" ref="K30" si="108">9.45345681/G29-0.14325844*G29+0.00124097*G29^2+5.98054622</f>
        <v>3.3595433546140332</v>
      </c>
      <c r="L30" s="621"/>
      <c r="M30" s="221">
        <f>C29*E30*F29*K30/1000000*L29</f>
        <v>996.65547491330858</v>
      </c>
      <c r="N30" s="391">
        <f t="shared" ref="N30" si="109">0.6037810576/G29-0.0052863845*G29+0.0000423961*G29^2+0.3189943526</f>
        <v>0.22919567839342808</v>
      </c>
      <c r="O30" s="621"/>
      <c r="P30" s="221">
        <f>C29*E30*F29*N30/1000000*O29</f>
        <v>274.39301681646873</v>
      </c>
      <c r="Q30" s="392">
        <f t="shared" ref="Q30" si="110">1.5469182952/G29-0.0051393982*G29+0.0000404677*G29^2+0.2460289003</f>
        <v>0.19361458064850001</v>
      </c>
      <c r="R30" s="659"/>
      <c r="S30" s="221">
        <f t="shared" ref="S30" si="111">C29*E30*F29*Q30/1000000*R29</f>
        <v>464.09577011873188</v>
      </c>
      <c r="T30" s="617"/>
      <c r="U30" s="617"/>
      <c r="V30" s="617"/>
      <c r="W30" s="662"/>
    </row>
    <row r="31" spans="1:23" ht="19.7" customHeight="1">
      <c r="A31" s="540" t="s">
        <v>961</v>
      </c>
      <c r="B31" s="540" t="s">
        <v>224</v>
      </c>
      <c r="C31" s="553">
        <f>'ｼｰﾄNO.3（表-3）59頁'!$F$30</f>
        <v>9</v>
      </c>
      <c r="D31" s="133" t="s">
        <v>65</v>
      </c>
      <c r="E31" s="292">
        <f>'ｼｰﾄNO.4（表-4）60頁'!K33</f>
        <v>772.34999999999991</v>
      </c>
      <c r="F31" s="543">
        <f>'ｼｰﾄNO.4（表-4）60頁'!C33/1000</f>
        <v>1.054</v>
      </c>
      <c r="G31" s="543">
        <f>F31/('ｼｰﾄNO.4（表-4）60頁'!H33/3600)</f>
        <v>29.643750000000001</v>
      </c>
      <c r="H31" s="293">
        <f>-2.71095565/G31-0.09453616*G31+0.00089493*G31^2+3.15403637</f>
        <v>1.0466003564631281</v>
      </c>
      <c r="I31" s="620">
        <v>6000</v>
      </c>
      <c r="J31" s="99">
        <f>C31*E31*F31*H31/1000000*I31</f>
        <v>46.007581052948531</v>
      </c>
      <c r="K31" s="390">
        <f t="shared" ref="K31" si="112">-0.25063622/G31-0.00657231*G31+0.00005332*G31^2+0.29056757</f>
        <v>0.13413976437914132</v>
      </c>
      <c r="L31" s="620">
        <v>1364600</v>
      </c>
      <c r="M31" s="99">
        <f>C31*E31*F31*K31/1000000*L31</f>
        <v>1341.0969576596506</v>
      </c>
      <c r="N31" s="390">
        <f t="shared" ref="N31" si="113">0.093055673/G31-0.0002682273*G31+0.00000218*G31^2+0.0173678037</f>
        <v>1.4471352818974903E-2</v>
      </c>
      <c r="O31" s="620">
        <v>5506900</v>
      </c>
      <c r="P31" s="99">
        <f>C31*E31*F31*N31/1000000*O31</f>
        <v>583.86654776030605</v>
      </c>
      <c r="Q31" s="390">
        <f t="shared" ref="Q31" si="114">0.0505593958/G31-0.000357176*G31+0.0000031505*G31^2+0.0131649024</f>
        <v>7.0509410543262221E-3</v>
      </c>
      <c r="R31" s="658">
        <v>11025800</v>
      </c>
      <c r="S31" s="99">
        <f t="shared" ref="S31" si="115">C31*E31*F31*Q31/1000000*R31</f>
        <v>569.5796516277195</v>
      </c>
      <c r="T31" s="616">
        <f>SUM(J31:J54)+SUM(M31:M54)+SUM(P31:P54)+SUM(S31:S54)</f>
        <v>21682.801938929384</v>
      </c>
      <c r="U31" s="616">
        <f>'ｼｰﾄNO.3（表-3）59頁'!$F$33</f>
        <v>18</v>
      </c>
      <c r="V31" s="616">
        <f>T31*U31</f>
        <v>390290.43490072893</v>
      </c>
      <c r="W31" s="662"/>
    </row>
    <row r="32" spans="1:23" ht="19.7" customHeight="1">
      <c r="A32" s="541"/>
      <c r="B32" s="542"/>
      <c r="C32" s="566"/>
      <c r="D32" s="134" t="s">
        <v>66</v>
      </c>
      <c r="E32" s="295">
        <f>'ｼｰﾄNO.4（表-4）60頁'!K34</f>
        <v>40.650000000000006</v>
      </c>
      <c r="F32" s="544"/>
      <c r="G32" s="544"/>
      <c r="H32" s="296">
        <f>12.28697452/G31-0.05907844*G31+0.00051753*G31^2+2.69979197</f>
        <v>1.8177538030136606</v>
      </c>
      <c r="I32" s="621"/>
      <c r="J32" s="221">
        <f>C31*E32*F31*H32/1000000*I31</f>
        <v>4.205619547137033</v>
      </c>
      <c r="K32" s="391">
        <f t="shared" ref="K32" si="116">9.45345681/G31-0.14325844*G31+0.00124097*G31^2+5.98054622</f>
        <v>3.1432357925564749</v>
      </c>
      <c r="L32" s="621"/>
      <c r="M32" s="221">
        <f>C31*E32*F31*K32/1000000*L31</f>
        <v>1653.96379394012</v>
      </c>
      <c r="N32" s="391">
        <f t="shared" ref="N32" si="117">0.6037810576/G31-0.0052863845*G31+0.0000423961*G31^2+0.3189943526</f>
        <v>0.21990965021660547</v>
      </c>
      <c r="O32" s="621"/>
      <c r="P32" s="221">
        <f>C31*E32*F31*N32/1000000*O31</f>
        <v>466.97663161180054</v>
      </c>
      <c r="Q32" s="392">
        <f t="shared" ref="Q32" si="118">1.5469182952/G31-0.0051393982*G31+0.0000404677*G31^2+0.2460289003</f>
        <v>0.18142255744628519</v>
      </c>
      <c r="R32" s="659"/>
      <c r="S32" s="393">
        <f t="shared" ref="S32" si="119">C31*E32*F31*Q32/1000000*R31</f>
        <v>771.33860028858635</v>
      </c>
      <c r="T32" s="665"/>
      <c r="U32" s="665"/>
      <c r="V32" s="665"/>
      <c r="W32" s="662"/>
    </row>
    <row r="33" spans="1:23" ht="19.7" customHeight="1">
      <c r="A33" s="541"/>
      <c r="B33" s="540" t="s">
        <v>257</v>
      </c>
      <c r="C33" s="553">
        <f>'ｼｰﾄNO.3（表-3）59頁'!$F$30</f>
        <v>9</v>
      </c>
      <c r="D33" s="133" t="s">
        <v>65</v>
      </c>
      <c r="E33" s="294">
        <f>'ｼｰﾄNO.4（表-4）60頁'!K35</f>
        <v>148.19999999999999</v>
      </c>
      <c r="F33" s="543">
        <f>'ｼｰﾄNO.4（表-4）60頁'!C35/1000</f>
        <v>0.76100000000000001</v>
      </c>
      <c r="G33" s="543">
        <f>F33/('ｼｰﾄNO.4（表-4）60頁'!H35/3600)</f>
        <v>27.955102040816328</v>
      </c>
      <c r="H33" s="293">
        <f>-2.71095565/G33-0.09453616*G33+0.00089493*G33^2+3.15403637</f>
        <v>1.1136698404962537</v>
      </c>
      <c r="I33" s="620">
        <v>6000</v>
      </c>
      <c r="J33" s="99">
        <f t="shared" ref="J33" si="120">C33*E33*F33*H33/1000000*I33</f>
        <v>6.7823949966373211</v>
      </c>
      <c r="K33" s="390">
        <f t="shared" ref="K33" si="121">-0.25063622/G33-0.00657231*G33+0.00005332*G33^2+0.29056757</f>
        <v>0.13954122906549798</v>
      </c>
      <c r="L33" s="620">
        <v>1364600</v>
      </c>
      <c r="M33" s="99">
        <f>C33*E33*F33*K33/1000000*L33</f>
        <v>193.27838171207401</v>
      </c>
      <c r="N33" s="390">
        <f t="shared" ref="N33" si="122">0.093055673/G33-0.0002682273*G33+0.00000218*G33^2+0.0173678037</f>
        <v>1.4901879955931608E-2</v>
      </c>
      <c r="O33" s="620">
        <v>5506900</v>
      </c>
      <c r="P33" s="99">
        <f>C33*E33*F33*N33/1000000*O33</f>
        <v>83.295899147207066</v>
      </c>
      <c r="Q33" s="390">
        <f t="shared" ref="Q33" si="123">0.0505593958/G33-0.000357176*G33+0.0000031505*G33^2+0.0131649024</f>
        <v>7.450680750222689E-3</v>
      </c>
      <c r="R33" s="658">
        <v>11025800</v>
      </c>
      <c r="S33" s="375">
        <f t="shared" ref="S33" si="124">C33*E33*F33*Q33/1000000*R33</f>
        <v>83.383752416847187</v>
      </c>
      <c r="T33" s="665"/>
      <c r="U33" s="665"/>
      <c r="V33" s="665"/>
      <c r="W33" s="662"/>
    </row>
    <row r="34" spans="1:23" ht="19.7" customHeight="1">
      <c r="A34" s="541"/>
      <c r="B34" s="542"/>
      <c r="C34" s="566"/>
      <c r="D34" s="134" t="s">
        <v>66</v>
      </c>
      <c r="E34" s="298">
        <f>'ｼｰﾄNO.4（表-4）60頁'!K36</f>
        <v>7.8000000000000007</v>
      </c>
      <c r="F34" s="544"/>
      <c r="G34" s="544"/>
      <c r="H34" s="296">
        <f>12.28697452/G33-0.05907844*G33+0.00051753*G33^2+2.69979197</f>
        <v>1.8922167930969032</v>
      </c>
      <c r="I34" s="621"/>
      <c r="J34" s="221">
        <f t="shared" ref="J34" si="125">C33*E34*F33*H34/1000000*I33</f>
        <v>0.60651830378508842</v>
      </c>
      <c r="K34" s="391">
        <f t="shared" ref="K34" si="126">9.45345681/G33-0.14325844*G33+0.00124097*G33^2+5.98054622</f>
        <v>3.2837104457456512</v>
      </c>
      <c r="L34" s="621"/>
      <c r="M34" s="221">
        <f>C33*E34*F33*K34/1000000*L33</f>
        <v>239.38227516401381</v>
      </c>
      <c r="N34" s="391">
        <f t="shared" ref="N34" si="127">0.6037810576/G33-0.0052863845*G33+0.0000423961*G33^2+0.3189943526</f>
        <v>0.22594320837961243</v>
      </c>
      <c r="O34" s="621"/>
      <c r="P34" s="221">
        <f>C33*E34*F33*N34/1000000*O33</f>
        <v>66.470393611375528</v>
      </c>
      <c r="Q34" s="392">
        <f t="shared" ref="Q34" si="128">1.5469182952/G33-0.0051393982*G33+0.0000404677*G33^2+0.2460289003</f>
        <v>0.18931732307317983</v>
      </c>
      <c r="R34" s="659"/>
      <c r="S34" s="221">
        <f t="shared" ref="S34" si="129">C33*E34*F33*Q34/1000000*R33</f>
        <v>111.51216155921465</v>
      </c>
      <c r="T34" s="665"/>
      <c r="U34" s="665"/>
      <c r="V34" s="665"/>
      <c r="W34" s="662"/>
    </row>
    <row r="35" spans="1:23" ht="19.7" customHeight="1">
      <c r="A35" s="541"/>
      <c r="B35" s="540" t="s">
        <v>364</v>
      </c>
      <c r="C35" s="553">
        <f>'ｼｰﾄNO.3（表-3）59頁'!$F$30</f>
        <v>9</v>
      </c>
      <c r="D35" s="133" t="s">
        <v>65</v>
      </c>
      <c r="E35" s="292">
        <f>'ｼｰﾄNO.4（表-4）60頁'!K37</f>
        <v>41.8</v>
      </c>
      <c r="F35" s="543">
        <f>'ｼｰﾄNO.4（表-4）60頁'!C37/1000</f>
        <v>0.82399999999999995</v>
      </c>
      <c r="G35" s="543">
        <f>F35/('ｼｰﾄNO.4（表-4）60頁'!H37/3600)</f>
        <v>24.927731092436975</v>
      </c>
      <c r="H35" s="293">
        <f>-2.71095565/G35-0.09453616*G35+0.00089493*G35^2+3.15403637</f>
        <v>1.2448139350987362</v>
      </c>
      <c r="I35" s="620">
        <v>6000</v>
      </c>
      <c r="J35" s="99">
        <f t="shared" ref="J35" si="130">C35*E35*F35*H35/1000000*I35</f>
        <v>2.3152702677872101</v>
      </c>
      <c r="K35" s="390">
        <f t="shared" ref="K35" si="131">-0.25063622/G35-0.00657231*G35+0.00005332*G35^2+0.29056757</f>
        <v>0.14981288928616346</v>
      </c>
      <c r="L35" s="620">
        <v>1364600</v>
      </c>
      <c r="M35" s="99">
        <f>C35*E35*F35*K35/1000000*L35</f>
        <v>63.372457634878913</v>
      </c>
      <c r="N35" s="390">
        <f t="shared" ref="N35" si="132">0.093055673/G35-0.0002682273*G35+0.00000218*G35^2+0.0173678037</f>
        <v>1.5769157934508494E-2</v>
      </c>
      <c r="O35" s="620">
        <v>5506900</v>
      </c>
      <c r="P35" s="99">
        <f>C35*E35*F35*N35/1000000*O35</f>
        <v>26.919171908389597</v>
      </c>
      <c r="Q35" s="390">
        <f t="shared" ref="Q35" si="133">0.0505593958/G35-0.000357176*G35+0.0000031505*G35^2+0.0131649024</f>
        <v>8.2472488906841519E-3</v>
      </c>
      <c r="R35" s="658">
        <v>11025800</v>
      </c>
      <c r="S35" s="394">
        <f t="shared" ref="S35" si="134">C35*E35*F35*Q35/1000000*R35</f>
        <v>28.188061769672274</v>
      </c>
      <c r="T35" s="665"/>
      <c r="U35" s="665"/>
      <c r="V35" s="665"/>
      <c r="W35" s="662"/>
    </row>
    <row r="36" spans="1:23" ht="19.7" customHeight="1">
      <c r="A36" s="541"/>
      <c r="B36" s="542"/>
      <c r="C36" s="566"/>
      <c r="D36" s="134" t="s">
        <v>66</v>
      </c>
      <c r="E36" s="295">
        <f>'ｼｰﾄNO.4（表-4）60頁'!K38</f>
        <v>2.2000000000000002</v>
      </c>
      <c r="F36" s="544"/>
      <c r="G36" s="544"/>
      <c r="H36" s="296">
        <f>12.28697452/G35-0.05907844*G35+0.00051753*G35^2+2.69979197</f>
        <v>2.0415932365843594</v>
      </c>
      <c r="I36" s="621"/>
      <c r="J36" s="221">
        <f t="shared" ref="J36" si="135">C35*E36*F35*H36/1000000*I35</f>
        <v>0.19985401184112686</v>
      </c>
      <c r="K36" s="391">
        <f t="shared" ref="K36" si="136">9.45345681/G35-0.14325844*G35+0.00124097*G35^2+5.98054622</f>
        <v>3.5598014520360097</v>
      </c>
      <c r="L36" s="621"/>
      <c r="M36" s="221">
        <f>C35*E36*F35*K36/1000000*L35</f>
        <v>79.254429618541934</v>
      </c>
      <c r="N36" s="391">
        <f t="shared" ref="N36" si="137">0.6037810576/G35-0.0052863845*G35+0.0000423961*G35^2+0.3189943526</f>
        <v>0.2377826293315011</v>
      </c>
      <c r="O36" s="621"/>
      <c r="P36" s="221">
        <f>C35*E36*F35*N36/1000000*O35</f>
        <v>21.363859698344267</v>
      </c>
      <c r="Q36" s="392">
        <f t="shared" ref="Q36" si="138">1.5469182952/G35-0.0051393982*G35+0.0000404677*G35^2+0.2460289003</f>
        <v>0.2051177809551076</v>
      </c>
      <c r="R36" s="659"/>
      <c r="S36" s="393">
        <f t="shared" ref="S36" si="139">C35*E36*F35*Q36/1000000*R35</f>
        <v>36.898254488818331</v>
      </c>
      <c r="T36" s="665"/>
      <c r="U36" s="665"/>
      <c r="V36" s="665"/>
      <c r="W36" s="662"/>
    </row>
    <row r="37" spans="1:23" ht="19.7" customHeight="1">
      <c r="A37" s="541"/>
      <c r="B37" s="540" t="s">
        <v>356</v>
      </c>
      <c r="C37" s="553">
        <f>'ｼｰﾄNO.3（表-3）59頁'!$F$30</f>
        <v>9</v>
      </c>
      <c r="D37" s="133" t="s">
        <v>65</v>
      </c>
      <c r="E37" s="294">
        <f>'ｼｰﾄNO.4（表-4）60頁'!K39</f>
        <v>753.34999999999991</v>
      </c>
      <c r="F37" s="543">
        <f>'ｼｰﾄNO.4（表-4）60頁'!C39/1000</f>
        <v>1.054</v>
      </c>
      <c r="G37" s="543">
        <f>F37/('ｼｰﾄNO.4（表-4）60頁'!H39/3600)</f>
        <v>30.6</v>
      </c>
      <c r="H37" s="293">
        <f>-2.71095565/G37-0.09453616*G37+0.00089493*G37^2+3.15403637</f>
        <v>1.0106132069045755</v>
      </c>
      <c r="I37" s="620">
        <v>6000</v>
      </c>
      <c r="J37" s="99">
        <f t="shared" ref="J37" si="140">C37*E37*F37*H37/1000000*I37</f>
        <v>43.332738168437615</v>
      </c>
      <c r="K37" s="390">
        <f t="shared" ref="K37" si="141">-0.25063622/G37-0.00657231*G37+0.00005332*G37^2+0.29056757</f>
        <v>0.13119087305620916</v>
      </c>
      <c r="L37" s="620">
        <v>1364600</v>
      </c>
      <c r="M37" s="99">
        <f>C37*E37*F37*K37/1000000*L37</f>
        <v>1279.3486114663865</v>
      </c>
      <c r="N37" s="390">
        <f t="shared" ref="N37" si="142">0.093055673/G37-0.0002682273*G37+0.00000218*G37^2+0.0173678037</f>
        <v>1.4242348185359476E-2</v>
      </c>
      <c r="O37" s="620">
        <v>5506900</v>
      </c>
      <c r="P37" s="99">
        <f>C37*E37*F37*N37/1000000*O37</f>
        <v>560.4910756012647</v>
      </c>
      <c r="Q37" s="390">
        <f t="shared" ref="Q37" si="143">0.0505593958/G37-0.000357176*G37+0.0000031505*G37^2+0.0131649024</f>
        <v>6.8375868166013053E-3</v>
      </c>
      <c r="R37" s="658">
        <v>11025800</v>
      </c>
      <c r="S37" s="375">
        <f t="shared" ref="S37" si="144">C37*E37*F37*Q37/1000000*R37</f>
        <v>538.75693922824041</v>
      </c>
      <c r="T37" s="665"/>
      <c r="U37" s="665"/>
      <c r="V37" s="665"/>
      <c r="W37" s="662"/>
    </row>
    <row r="38" spans="1:23" ht="19.7" customHeight="1">
      <c r="A38" s="541"/>
      <c r="B38" s="542"/>
      <c r="C38" s="566"/>
      <c r="D38" s="134" t="s">
        <v>66</v>
      </c>
      <c r="E38" s="298">
        <f>'ｼｰﾄNO.4（表-4）60頁'!K40</f>
        <v>39.650000000000006</v>
      </c>
      <c r="F38" s="544"/>
      <c r="G38" s="544"/>
      <c r="H38" s="296">
        <f>12.28697452/G37-0.05907844*G37+0.00051753*G37^2+2.69979197</f>
        <v>1.7781212118326797</v>
      </c>
      <c r="I38" s="621"/>
      <c r="J38" s="221">
        <f t="shared" ref="J38" si="145">C37*E38*F37*H38/1000000*I37</f>
        <v>4.0127206342943182</v>
      </c>
      <c r="K38" s="391">
        <f t="shared" ref="K38" si="146">9.45345681/G37-0.14325844*G37+0.00124097*G37^2+5.98054622</f>
        <v>3.0677691222588237</v>
      </c>
      <c r="L38" s="621"/>
      <c r="M38" s="221">
        <f>C37*E38*F37*K38/1000000*L37</f>
        <v>1574.5423665336648</v>
      </c>
      <c r="N38" s="391">
        <f t="shared" ref="N38" si="147">0.6037810576/G37-0.0052863845*G37+0.0000423961*G37^2+0.3189943526</f>
        <v>0.21666040620711108</v>
      </c>
      <c r="O38" s="621"/>
      <c r="P38" s="221">
        <f>C37*E38*F37*N38/1000000*O37</f>
        <v>448.75887974436336</v>
      </c>
      <c r="Q38" s="392">
        <f t="shared" ref="Q38" si="148">1.5469182952/G37-0.0051393982*G37+0.0000404677*G37^2+0.2460289003</f>
        <v>0.17720853641605228</v>
      </c>
      <c r="R38" s="659"/>
      <c r="S38" s="221">
        <f t="shared" ref="S38" si="149">C37*E38*F37*Q38/1000000*R37</f>
        <v>734.88783970596694</v>
      </c>
      <c r="T38" s="665"/>
      <c r="U38" s="665"/>
      <c r="V38" s="665"/>
      <c r="W38" s="662"/>
    </row>
    <row r="39" spans="1:23" ht="19.7" customHeight="1">
      <c r="A39" s="541"/>
      <c r="B39" s="540" t="s">
        <v>358</v>
      </c>
      <c r="C39" s="553">
        <f>'ｼｰﾄNO.3（表-3）59頁'!$F$30</f>
        <v>9</v>
      </c>
      <c r="D39" s="133" t="s">
        <v>65</v>
      </c>
      <c r="E39" s="292">
        <f>'ｼｰﾄNO.4（表-4）60頁'!K41</f>
        <v>39.9</v>
      </c>
      <c r="F39" s="543">
        <f>'ｼｰﾄNO.4（表-4）60頁'!C41/1000</f>
        <v>0.84799999999999998</v>
      </c>
      <c r="G39" s="543">
        <f>F39/('ｼｰﾄNO.4（表-4）60頁'!H41/3600)</f>
        <v>22.613333333333333</v>
      </c>
      <c r="H39" s="293">
        <f>-2.71095565/G39-0.09453616*G39+0.00089493*G39^2+3.15403637</f>
        <v>1.3540095598927391</v>
      </c>
      <c r="I39" s="620">
        <v>6000</v>
      </c>
      <c r="J39" s="99">
        <f t="shared" ref="J39" si="150">C39*E39*F39*H39/1000000*I39</f>
        <v>2.4739119500876714</v>
      </c>
      <c r="K39" s="390">
        <f t="shared" ref="K39" si="151">-0.25063622/G39-0.00657231*G39+0.00005332*G39^2+0.29056757</f>
        <v>0.15812804080870232</v>
      </c>
      <c r="L39" s="620">
        <v>1364600</v>
      </c>
      <c r="M39" s="99">
        <f>C39*E39*F39*K39/1000000*L39</f>
        <v>65.709099336071944</v>
      </c>
      <c r="N39" s="390">
        <f t="shared" ref="N39" si="152">0.093055673/G39-0.0002682273*G39+0.00000218*G39^2+0.0173678037</f>
        <v>1.6532141236016248E-2</v>
      </c>
      <c r="O39" s="620">
        <v>5506900</v>
      </c>
      <c r="P39" s="99">
        <f>C39*E39*F39*N39/1000000*O39</f>
        <v>27.723467876618166</v>
      </c>
      <c r="Q39" s="390">
        <f t="shared" ref="Q39" si="153">0.0505593958/G39-0.000357176*G39+0.0000031505*G39^2+0.0131649024</f>
        <v>8.9348334326093265E-3</v>
      </c>
      <c r="R39" s="658">
        <v>11025800</v>
      </c>
      <c r="S39" s="394">
        <f t="shared" ref="S39" si="154">C39*E39*F39*Q39/1000000*R39</f>
        <v>29.999072557387411</v>
      </c>
      <c r="T39" s="665"/>
      <c r="U39" s="665"/>
      <c r="V39" s="665"/>
      <c r="W39" s="662"/>
    </row>
    <row r="40" spans="1:23" ht="19.7" customHeight="1">
      <c r="A40" s="541"/>
      <c r="B40" s="542"/>
      <c r="C40" s="566"/>
      <c r="D40" s="134" t="s">
        <v>66</v>
      </c>
      <c r="E40" s="295">
        <f>'ｼｰﾄNO.4（表-4）60頁'!K42</f>
        <v>2.1</v>
      </c>
      <c r="F40" s="544"/>
      <c r="G40" s="544"/>
      <c r="H40" s="296">
        <f>12.28697452/G39-0.05907844*G39+0.00051753*G39^2+2.69979197</f>
        <v>2.1718280043001132</v>
      </c>
      <c r="I40" s="621"/>
      <c r="J40" s="221">
        <f t="shared" ref="J40" si="155">C39*E40*F39*H40/1000000*I39</f>
        <v>0.20884993074311264</v>
      </c>
      <c r="K40" s="391">
        <f t="shared" ref="K40" si="156">9.45345681/G39-0.14325844*G39+0.00124097*G39^2+5.98054622</f>
        <v>3.7936292257149553</v>
      </c>
      <c r="L40" s="621"/>
      <c r="M40" s="221">
        <f>C39*E40*F39*K40/1000000*L39</f>
        <v>82.969391653776412</v>
      </c>
      <c r="N40" s="391">
        <f t="shared" ref="N40" si="157">0.6037810576/G39-0.0052863845*G39+0.0000423961*G39^2+0.3189943526</f>
        <v>0.24783159171834482</v>
      </c>
      <c r="O40" s="621"/>
      <c r="P40" s="221">
        <f>C39*E40*F39*N40/1000000*O39</f>
        <v>21.873662798094248</v>
      </c>
      <c r="Q40" s="392">
        <f t="shared" ref="Q40" si="158">1.5469182952/G39-0.0051393982*G39+0.0000404677*G39^2+0.2460289003</f>
        <v>0.21891100770692318</v>
      </c>
      <c r="R40" s="659"/>
      <c r="S40" s="393">
        <f t="shared" ref="S40" si="159">C39*E40*F39*Q40/1000000*R39</f>
        <v>38.684355616894578</v>
      </c>
      <c r="T40" s="665"/>
      <c r="U40" s="665"/>
      <c r="V40" s="665"/>
      <c r="W40" s="662"/>
    </row>
    <row r="41" spans="1:23" ht="19.7" customHeight="1">
      <c r="A41" s="541"/>
      <c r="B41" s="540" t="s">
        <v>365</v>
      </c>
      <c r="C41" s="553">
        <f>'ｼｰﾄNO.3（表-3）59頁'!$F$30</f>
        <v>9</v>
      </c>
      <c r="D41" s="133" t="s">
        <v>65</v>
      </c>
      <c r="E41" s="294">
        <f>'ｼｰﾄNO.4（表-4）60頁'!K43</f>
        <v>147.25</v>
      </c>
      <c r="F41" s="543">
        <f>'ｼｰﾄNO.4（表-4）60頁'!C43/1000</f>
        <v>0.91</v>
      </c>
      <c r="G41" s="543">
        <f>F41/('ｼｰﾄNO.4（表-4）60頁'!H43/3600)</f>
        <v>30.055045871559635</v>
      </c>
      <c r="H41" s="293">
        <f>-2.71095565/G41-0.09453616*G41+0.00089493*G41^2+3.15403637</f>
        <v>1.030943504144429</v>
      </c>
      <c r="I41" s="620">
        <v>6000</v>
      </c>
      <c r="J41" s="99">
        <f t="shared" ref="J41" si="160">C41*E41*F41*H41/1000000*I41</f>
        <v>7.4597680186160291</v>
      </c>
      <c r="K41" s="390">
        <f t="shared" ref="K41" si="161">-0.25063622/G41-0.00657231*G41+0.00005332*G41^2+0.29056757</f>
        <v>0.13286151647220723</v>
      </c>
      <c r="L41" s="620">
        <v>1364600</v>
      </c>
      <c r="M41" s="99">
        <f>C41*E41*F41*K41/1000000*L41</f>
        <v>218.6471280922656</v>
      </c>
      <c r="N41" s="390">
        <f t="shared" ref="N41" si="162">0.093055673/G41-0.0002682273*G41+0.00000218*G41^2+0.0173678037</f>
        <v>1.4371601212148963E-2</v>
      </c>
      <c r="O41" s="620">
        <v>5506900</v>
      </c>
      <c r="P41" s="99">
        <f>C41*E41*F41*N41/1000000*O41</f>
        <v>95.44464196566976</v>
      </c>
      <c r="Q41" s="390">
        <f t="shared" ref="Q41" si="163">0.0505593958/G41-0.000357176*G41+0.0000031505*G41^2+0.0131649024</f>
        <v>6.9580527421799696E-3</v>
      </c>
      <c r="R41" s="658">
        <v>11025800</v>
      </c>
      <c r="S41" s="375">
        <f t="shared" ref="S41" si="164">C41*E41*F41*Q41/1000000*R41</f>
        <v>92.520299940018546</v>
      </c>
      <c r="T41" s="665"/>
      <c r="U41" s="665"/>
      <c r="V41" s="665"/>
      <c r="W41" s="662"/>
    </row>
    <row r="42" spans="1:23" ht="19.7" customHeight="1">
      <c r="A42" s="541"/>
      <c r="B42" s="542"/>
      <c r="C42" s="566"/>
      <c r="D42" s="134" t="s">
        <v>66</v>
      </c>
      <c r="E42" s="298">
        <f>'ｼｰﾄNO.4（表-4）60頁'!K44</f>
        <v>7.75</v>
      </c>
      <c r="F42" s="544"/>
      <c r="G42" s="544"/>
      <c r="H42" s="296">
        <f>12.28697452/G41-0.05907844*G41+0.00051753*G41^2+2.69979197</f>
        <v>1.8004902841038075</v>
      </c>
      <c r="I42" s="621"/>
      <c r="J42" s="221">
        <f t="shared" ref="J42" si="165">C41*E42*F41*H42/1000000*I41</f>
        <v>0.68568971734667361</v>
      </c>
      <c r="K42" s="391">
        <f t="shared" ref="K42" si="166">9.45345681/G41-0.14325844*G41+0.00124097*G41^2+5.98054622</f>
        <v>3.11042070390894</v>
      </c>
      <c r="L42" s="621"/>
      <c r="M42" s="221">
        <f>C41*E42*F41*K42/1000000*L41</f>
        <v>269.40776267464264</v>
      </c>
      <c r="N42" s="391">
        <f t="shared" ref="N42" si="167">0.6037810576/G41-0.0052863845*G41+0.0000423961*G41^2+0.3189943526</f>
        <v>0.21849764061943486</v>
      </c>
      <c r="O42" s="621"/>
      <c r="P42" s="221">
        <f>C41*E42*F41*N42/1000000*O41</f>
        <v>76.372946499504039</v>
      </c>
      <c r="Q42" s="392">
        <f t="shared" ref="Q42" si="168">1.5469182952/G41-0.0051393982*G41+0.0000404677*G41^2+0.2460289003</f>
        <v>0.17958826277182416</v>
      </c>
      <c r="R42" s="659"/>
      <c r="S42" s="221">
        <f t="shared" ref="S42" si="169">C41*E42*F41*Q42/1000000*R41</f>
        <v>125.68216812965736</v>
      </c>
      <c r="T42" s="665"/>
      <c r="U42" s="665"/>
      <c r="V42" s="665"/>
      <c r="W42" s="662"/>
    </row>
    <row r="43" spans="1:23" ht="19.7" customHeight="1">
      <c r="A43" s="541"/>
      <c r="B43" s="540" t="s">
        <v>360</v>
      </c>
      <c r="C43" s="553">
        <f>'ｼｰﾄNO.3（表-3）59頁'!$F$30</f>
        <v>9</v>
      </c>
      <c r="D43" s="133" t="s">
        <v>65</v>
      </c>
      <c r="E43" s="292">
        <f>'ｼｰﾄNO.4（表-4）60頁'!K45</f>
        <v>54.15</v>
      </c>
      <c r="F43" s="543">
        <f>'ｼｰﾄNO.4（表-4）60頁'!C45/1000</f>
        <v>0.76100000000000001</v>
      </c>
      <c r="G43" s="543">
        <f>F43/('ｼｰﾄNO.4（表-4）60頁'!H45/3600)</f>
        <v>22.641322314049585</v>
      </c>
      <c r="H43" s="293">
        <f>-2.71095565/G43-0.09453616*G43+0.00089493*G43^2+3.15403637</f>
        <v>1.3526453340932798</v>
      </c>
      <c r="I43" s="620">
        <v>6000</v>
      </c>
      <c r="J43" s="99">
        <f t="shared" ref="J43" si="170">C43*E43*F43*H43/1000000*I43</f>
        <v>3.009960638502263</v>
      </c>
      <c r="K43" s="390">
        <f t="shared" ref="K43" si="171">-0.25063622/G43-0.00657231*G43+0.00005332*G43^2+0.29056757</f>
        <v>0.15802532673956798</v>
      </c>
      <c r="L43" s="620">
        <v>1364600</v>
      </c>
      <c r="M43" s="99">
        <f>C43*E43*F43*K43/1000000*L43</f>
        <v>79.975633903976131</v>
      </c>
      <c r="N43" s="390">
        <f t="shared" ref="N43" si="172">0.093055673/G43-0.0002682273*G43+0.00000218*G43^2+0.0173678037</f>
        <v>1.6522308062949704E-2</v>
      </c>
      <c r="O43" s="620">
        <v>5506900</v>
      </c>
      <c r="P43" s="99">
        <f>C43*E43*F43*N43/1000000*O43</f>
        <v>33.744541593523081</v>
      </c>
      <c r="Q43" s="390">
        <f t="shared" ref="Q43" si="173">0.0505593958/G43-0.000357176*G43+0.0000031505*G43^2+0.0131649024</f>
        <v>8.9260630618954936E-3</v>
      </c>
      <c r="R43" s="658">
        <v>11025800</v>
      </c>
      <c r="S43" s="394">
        <f t="shared" ref="S43" si="174">C43*E43*F43*Q43/1000000*R43</f>
        <v>36.500237334720801</v>
      </c>
      <c r="T43" s="665"/>
      <c r="U43" s="665"/>
      <c r="V43" s="665"/>
      <c r="W43" s="662"/>
    </row>
    <row r="44" spans="1:23" ht="19.7" customHeight="1">
      <c r="A44" s="541"/>
      <c r="B44" s="542"/>
      <c r="C44" s="566"/>
      <c r="D44" s="134" t="s">
        <v>66</v>
      </c>
      <c r="E44" s="295">
        <f>'ｼｰﾄNO.4（表-4）60頁'!K46</f>
        <v>2.85</v>
      </c>
      <c r="F44" s="544"/>
      <c r="G44" s="544"/>
      <c r="H44" s="296">
        <f>12.28697452/G43-0.05907844*G43+0.00051753*G43^2+2.69979197</f>
        <v>2.1701582938483104</v>
      </c>
      <c r="I44" s="621"/>
      <c r="J44" s="221">
        <f t="shared" ref="J44" si="175">C43*E44*F43*H44/1000000*I43</f>
        <v>0.2541643820430971</v>
      </c>
      <c r="K44" s="391">
        <f t="shared" ref="K44" si="176">9.45345681/G43-0.14325844*G43+0.00124097*G43^2+5.98054622</f>
        <v>3.7906746331889405</v>
      </c>
      <c r="L44" s="621"/>
      <c r="M44" s="221">
        <f>C43*E44*F43*K44/1000000*L43</f>
        <v>100.97035941474519</v>
      </c>
      <c r="N44" s="391">
        <f t="shared" ref="N44" si="177">0.6037810576/G43-0.0052863845*G43+0.0000423961*G43^2+0.3189943526</f>
        <v>0.24770432489329391</v>
      </c>
      <c r="O44" s="621"/>
      <c r="P44" s="221">
        <f>C43*E44*F43*N44/1000000*O43</f>
        <v>26.6264216916239</v>
      </c>
      <c r="Q44" s="392">
        <f t="shared" ref="Q44" si="178">1.5469182952/G43-0.0051393982*G43+0.0000404677*G43^2+0.2460289003</f>
        <v>0.21873385436050466</v>
      </c>
      <c r="R44" s="659"/>
      <c r="S44" s="393">
        <f t="shared" ref="S44" si="179">C43*E44*F43*Q44/1000000*R43</f>
        <v>47.0758469765792</v>
      </c>
      <c r="T44" s="665"/>
      <c r="U44" s="665"/>
      <c r="V44" s="665"/>
      <c r="W44" s="662"/>
    </row>
    <row r="45" spans="1:23" ht="19.7" customHeight="1">
      <c r="A45" s="541"/>
      <c r="B45" s="540" t="s">
        <v>232</v>
      </c>
      <c r="C45" s="553">
        <f>'ｼｰﾄNO.3（表-3）59頁'!$F$30</f>
        <v>9</v>
      </c>
      <c r="D45" s="133" t="s">
        <v>65</v>
      </c>
      <c r="E45" s="294">
        <f>'ｼｰﾄNO.4（表-4）60頁'!K47</f>
        <v>158.65</v>
      </c>
      <c r="F45" s="543">
        <f>'ｼｰﾄNO.4（表-4）60頁'!C47/1000</f>
        <v>0.84799999999999998</v>
      </c>
      <c r="G45" s="543">
        <f>F45/('ｼｰﾄNO.4（表-4）60頁'!H47/3600)</f>
        <v>27.752727272727274</v>
      </c>
      <c r="H45" s="293">
        <f>-2.71095565/G45-0.09453616*G45+0.00089493*G45^2+3.15403637</f>
        <v>1.1220051084994243</v>
      </c>
      <c r="I45" s="620">
        <v>6000</v>
      </c>
      <c r="J45" s="99">
        <f t="shared" ref="J45" si="180">C45*E45*F45*H45/1000000*I45</f>
        <v>8.1512558103415547</v>
      </c>
      <c r="K45" s="390">
        <f t="shared" ref="K45" si="181">-0.25063622/G45-0.00657231*G45+0.00005332*G45^2+0.29056757</f>
        <v>0.14020479834032479</v>
      </c>
      <c r="L45" s="620">
        <v>1364600</v>
      </c>
      <c r="M45" s="99">
        <f>C45*E45*F45*K45/1000000*L45</f>
        <v>231.6576690649122</v>
      </c>
      <c r="N45" s="390">
        <f t="shared" ref="N45" si="182">0.093055673/G45-0.0002682273*G45+0.00000218*G45^2+0.0173678037</f>
        <v>1.4955858884601478E-2</v>
      </c>
      <c r="O45" s="620">
        <v>5506900</v>
      </c>
      <c r="P45" s="99">
        <f>C45*E45*F45*N45/1000000*O45</f>
        <v>99.72337933332777</v>
      </c>
      <c r="Q45" s="390">
        <f t="shared" ref="Q45" si="183">0.0505593958/G45-0.000357176*G45+0.0000031505*G45^2+0.0131649024</f>
        <v>7.5006342486333456E-3</v>
      </c>
      <c r="R45" s="658">
        <v>11025800</v>
      </c>
      <c r="S45" s="375">
        <f t="shared" ref="S45" si="184">C45*E45*F45*Q45/1000000*R45</f>
        <v>100.13514641204659</v>
      </c>
      <c r="T45" s="665"/>
      <c r="U45" s="665"/>
      <c r="V45" s="665"/>
      <c r="W45" s="662"/>
    </row>
    <row r="46" spans="1:23" ht="19.7" customHeight="1">
      <c r="A46" s="541"/>
      <c r="B46" s="542"/>
      <c r="C46" s="566"/>
      <c r="D46" s="134" t="s">
        <v>66</v>
      </c>
      <c r="E46" s="298">
        <f>'ｼｰﾄNO.4（表-4）60頁'!K48</f>
        <v>8.35</v>
      </c>
      <c r="F46" s="544"/>
      <c r="G46" s="544"/>
      <c r="H46" s="296">
        <f>12.28697452/G45-0.05907844*G45+0.00051753*G45^2+2.69979197</f>
        <v>1.9015432666737011</v>
      </c>
      <c r="I46" s="621"/>
      <c r="J46" s="221">
        <f t="shared" ref="J46" si="185">C45*E46*F45*H46/1000000*I45</f>
        <v>0.72708016838380962</v>
      </c>
      <c r="K46" s="391">
        <f t="shared" ref="K46" si="186">9.45345681/G45-0.14325844*G45+0.00124097*G45^2+5.98054622</f>
        <v>3.3011777457107159</v>
      </c>
      <c r="L46" s="621"/>
      <c r="M46" s="221">
        <f>C45*E46*F45*K46/1000000*L45</f>
        <v>287.07747177998772</v>
      </c>
      <c r="N46" s="391">
        <f t="shared" ref="N46" si="187">0.6037810576/G45-0.0052863845*G45+0.0000423961*G45^2+0.3189943526</f>
        <v>0.22669256740568483</v>
      </c>
      <c r="O46" s="621"/>
      <c r="P46" s="221">
        <f>C45*E46*F45*N46/1000000*O45</f>
        <v>79.555334928478416</v>
      </c>
      <c r="Q46" s="392">
        <f t="shared" ref="Q46" si="188">1.5469182952/G45-0.0051393982*G45+0.0000404677*G45^2+0.2460289003</f>
        <v>0.190304692944187</v>
      </c>
      <c r="R46" s="659"/>
      <c r="S46" s="221">
        <f t="shared" ref="S46" si="189">C45*E46*F45*Q46/1000000*R45</f>
        <v>133.71632920900811</v>
      </c>
      <c r="T46" s="665"/>
      <c r="U46" s="665"/>
      <c r="V46" s="665"/>
      <c r="W46" s="662"/>
    </row>
    <row r="47" spans="1:23" ht="19.7" customHeight="1">
      <c r="A47" s="541"/>
      <c r="B47" s="540" t="s">
        <v>366</v>
      </c>
      <c r="C47" s="553">
        <f>'ｼｰﾄNO.3（表-3）59頁'!$F$30</f>
        <v>9</v>
      </c>
      <c r="D47" s="133" t="s">
        <v>65</v>
      </c>
      <c r="E47" s="292">
        <f>'ｼｰﾄNO.4（表-4）60頁'!K49</f>
        <v>738.15</v>
      </c>
      <c r="F47" s="543">
        <f>'ｼｰﾄNO.4（表-4）60頁'!C49/1000</f>
        <v>0.61699999999999999</v>
      </c>
      <c r="G47" s="543">
        <f>F47/('ｼｰﾄNO.4（表-4）60頁'!H49/3600)</f>
        <v>27.087804878048779</v>
      </c>
      <c r="H47" s="293">
        <f>-2.71095565/G47-0.09453616*G47+0.00089493*G47^2+3.15403637</f>
        <v>1.1498331610692509</v>
      </c>
      <c r="I47" s="620">
        <v>6000</v>
      </c>
      <c r="J47" s="99">
        <f t="shared" ref="J47" si="190">C47*E47*F47*H47/1000000*I47</f>
        <v>28.278630771441986</v>
      </c>
      <c r="K47" s="390">
        <f t="shared" ref="K47" si="191">-0.25063622/G47-0.00657231*G47+0.00005332*G47^2+0.29056757</f>
        <v>0.14240889225716619</v>
      </c>
      <c r="L47" s="620">
        <v>1364600</v>
      </c>
      <c r="M47" s="99">
        <f>C47*E47*F47*K47/1000000*L47</f>
        <v>796.55317449075415</v>
      </c>
      <c r="N47" s="390">
        <f t="shared" ref="N47" si="192">0.093055673/G47-0.0002682273*G47+0.00000218*G47^2+0.0173678037</f>
        <v>1.5137022719626959E-2</v>
      </c>
      <c r="O47" s="620">
        <v>5506900</v>
      </c>
      <c r="P47" s="99">
        <f>C47*E47*F47*N47/1000000*O47</f>
        <v>341.68030848427588</v>
      </c>
      <c r="Q47" s="390">
        <f t="shared" ref="Q47" si="193">0.0505593958/G47-0.000357176*G47+0.0000031505*G47^2+0.0131649024</f>
        <v>7.6679656699207913E-3</v>
      </c>
      <c r="R47" s="658">
        <v>11025800</v>
      </c>
      <c r="S47" s="394">
        <f t="shared" ref="S47" si="194">C47*E47*F47*Q47/1000000*R47</f>
        <v>346.54733852967382</v>
      </c>
      <c r="T47" s="665"/>
      <c r="U47" s="665"/>
      <c r="V47" s="665"/>
      <c r="W47" s="662"/>
    </row>
    <row r="48" spans="1:23" ht="19.7" customHeight="1">
      <c r="A48" s="541"/>
      <c r="B48" s="542"/>
      <c r="C48" s="566"/>
      <c r="D48" s="134" t="s">
        <v>66</v>
      </c>
      <c r="E48" s="295">
        <f>'ｼｰﾄNO.4（表-4）60頁'!K50</f>
        <v>38.85</v>
      </c>
      <c r="F48" s="544"/>
      <c r="G48" s="544"/>
      <c r="H48" s="296">
        <f>12.28697452/G47-0.05907844*G47+0.00051753*G47^2+2.69979197</f>
        <v>1.9328219392155921</v>
      </c>
      <c r="I48" s="621"/>
      <c r="J48" s="221">
        <f t="shared" ref="J48" si="195">C47*E48*F47*H48/1000000*I47</f>
        <v>2.5018530292550012</v>
      </c>
      <c r="K48" s="391">
        <f t="shared" ref="K48" si="196">9.45345681/G47-0.14325844*G47+0.00124097*G47^2+5.98054622</f>
        <v>3.3595433546140332</v>
      </c>
      <c r="L48" s="621"/>
      <c r="M48" s="221">
        <f>C47*E48*F47*K48/1000000*L47</f>
        <v>989.01826820899225</v>
      </c>
      <c r="N48" s="391">
        <f t="shared" ref="N48" si="197">0.6037810576/G47-0.0052863845*G47+0.0000423961*G47^2+0.3189943526</f>
        <v>0.22919567839342808</v>
      </c>
      <c r="O48" s="621"/>
      <c r="P48" s="221">
        <f>C47*E48*F47*N48/1000000*O47</f>
        <v>272.29038833511652</v>
      </c>
      <c r="Q48" s="392">
        <f t="shared" ref="Q48" si="198">1.5469182952/G47-0.0051393982*G47+0.0000404677*G47^2+0.2460289003</f>
        <v>0.19361458064850001</v>
      </c>
      <c r="R48" s="659"/>
      <c r="S48" s="393">
        <f t="shared" ref="S48" si="199">C47*E48*F47*Q48/1000000*R47</f>
        <v>460.53948069253465</v>
      </c>
      <c r="T48" s="665"/>
      <c r="U48" s="665"/>
      <c r="V48" s="665"/>
      <c r="W48" s="662"/>
    </row>
    <row r="49" spans="1:23" ht="19.7" customHeight="1">
      <c r="A49" s="541"/>
      <c r="B49" s="540" t="s">
        <v>255</v>
      </c>
      <c r="C49" s="553">
        <f>'ｼｰﾄNO.3（表-3）59頁'!$F$30</f>
        <v>9</v>
      </c>
      <c r="D49" s="133" t="s">
        <v>65</v>
      </c>
      <c r="E49" s="294">
        <f>'ｼｰﾄNO.4（表-4）60頁'!K51</f>
        <v>133</v>
      </c>
      <c r="F49" s="543">
        <f>'ｼｰﾄNO.4（表-4）60頁'!C51/1000</f>
        <v>0.82399999999999995</v>
      </c>
      <c r="G49" s="543">
        <f>F49/('ｼｰﾄNO.4（表-4）60頁'!H51/3600)</f>
        <v>28.523076923076921</v>
      </c>
      <c r="H49" s="293">
        <f>-2.71095565/G49-0.09453616*G49+0.00089493*G49^2+3.15403637</f>
        <v>1.090614460615126</v>
      </c>
      <c r="I49" s="620">
        <v>6000</v>
      </c>
      <c r="J49" s="99">
        <f t="shared" ref="J49" si="200">C49*E49*F49*H49/1000000*I49</f>
        <v>6.4542214782575762</v>
      </c>
      <c r="K49" s="390">
        <f t="shared" ref="K49" si="201">-0.25063622/G49-0.00657231*G49+0.00005332*G49^2+0.29056757</f>
        <v>0.1376972627690112</v>
      </c>
      <c r="L49" s="620">
        <v>1364600</v>
      </c>
      <c r="M49" s="99">
        <f>C49*E49*F49*K49/1000000*L49</f>
        <v>185.33269294035446</v>
      </c>
      <c r="N49" s="390">
        <f t="shared" ref="N49" si="202">0.093055673/G49-0.0002682273*G49+0.00000218*G49^2+0.0173678037</f>
        <v>1.4753179146136358E-2</v>
      </c>
      <c r="O49" s="620">
        <v>5506900</v>
      </c>
      <c r="P49" s="99">
        <f>C49*E49*F49*N49/1000000*O49</f>
        <v>80.133510413074973</v>
      </c>
      <c r="Q49" s="390">
        <f t="shared" ref="Q49" si="203">0.0505593958/G49-0.000357176*G49+0.0000031505*G49^2+0.0131649024</f>
        <v>7.3128619003372843E-3</v>
      </c>
      <c r="R49" s="658">
        <v>11025800</v>
      </c>
      <c r="S49" s="375">
        <f t="shared" ref="S49" si="204">C49*E49*F49*Q49/1000000*R49</f>
        <v>79.527777292467448</v>
      </c>
      <c r="T49" s="665"/>
      <c r="U49" s="665"/>
      <c r="V49" s="665"/>
      <c r="W49" s="662"/>
    </row>
    <row r="50" spans="1:23" ht="19.7" customHeight="1">
      <c r="A50" s="541"/>
      <c r="B50" s="542"/>
      <c r="C50" s="566"/>
      <c r="D50" s="134" t="s">
        <v>66</v>
      </c>
      <c r="E50" s="298">
        <f>'ｼｰﾄNO.4（表-4）60頁'!K52</f>
        <v>7</v>
      </c>
      <c r="F50" s="544"/>
      <c r="G50" s="544"/>
      <c r="H50" s="296">
        <f>12.28697452/G49-0.05907844*G49+0.00051753*G49^2+2.69979197</f>
        <v>1.8665109593380467</v>
      </c>
      <c r="I50" s="621"/>
      <c r="J50" s="221">
        <f t="shared" ref="J50" si="205">C49*E50*F49*H50/1000000*I49</f>
        <v>0.58136590152694001</v>
      </c>
      <c r="K50" s="391">
        <f t="shared" ref="K50" si="206">9.45345681/G49-0.14325844*G49+0.00124097*G49^2+5.98054622</f>
        <v>3.2354174852760047</v>
      </c>
      <c r="L50" s="621"/>
      <c r="M50" s="221">
        <f>C49*E50*F49*K50/1000000*L49</f>
        <v>229.19411195956124</v>
      </c>
      <c r="N50" s="391">
        <f t="shared" ref="N50" si="207">0.6037810576/G49-0.0052863845*G49+0.0000423961*G49^2+0.3189943526</f>
        <v>0.22387058289813042</v>
      </c>
      <c r="O50" s="621"/>
      <c r="P50" s="221">
        <f>C49*E50*F49*N50/1000000*O49</f>
        <v>63.998822177668508</v>
      </c>
      <c r="Q50" s="392">
        <f t="shared" ref="Q50" si="208">1.5469182952/G49-0.0051393982*G49+0.0000404677*G49^2+0.2460289003</f>
        <v>0.18659451238229957</v>
      </c>
      <c r="R50" s="659"/>
      <c r="S50" s="221">
        <f t="shared" ref="S50" si="209">C49*E50*F49*Q50/1000000*R49</f>
        <v>106.80134914832047</v>
      </c>
      <c r="T50" s="665"/>
      <c r="U50" s="665"/>
      <c r="V50" s="665"/>
      <c r="W50" s="662"/>
    </row>
    <row r="51" spans="1:23" ht="19.7" customHeight="1">
      <c r="A51" s="541"/>
      <c r="B51" s="540" t="s">
        <v>362</v>
      </c>
      <c r="C51" s="553">
        <f>'ｼｰﾄNO.3（表-3）59頁'!$F$30</f>
        <v>9</v>
      </c>
      <c r="D51" s="133" t="s">
        <v>65</v>
      </c>
      <c r="E51" s="292">
        <f>'ｼｰﾄNO.4（表-4）60頁'!K53</f>
        <v>47.5</v>
      </c>
      <c r="F51" s="543">
        <f>'ｼｰﾄNO.4（表-4）60頁'!C53/1000</f>
        <v>0.91</v>
      </c>
      <c r="G51" s="543">
        <f>F51/('ｼｰﾄNO.4（表-4）60頁'!H53/3600)</f>
        <v>22.90909090909091</v>
      </c>
      <c r="H51" s="293">
        <f>-2.71095565/G51-0.09453616*G51+0.00089493*G51^2+3.15403637</f>
        <v>1.3396464522592815</v>
      </c>
      <c r="I51" s="620">
        <v>6000</v>
      </c>
      <c r="J51" s="99">
        <f t="shared" ref="J51" si="210">C51*E51*F51*H51/1000000*I51</f>
        <v>3.1269357665410022</v>
      </c>
      <c r="K51" s="390">
        <f t="shared" ref="K51" si="211">-0.25063622/G51-0.00657231*G51+0.00005332*G51^2+0.29056757</f>
        <v>0.15704519892234028</v>
      </c>
      <c r="L51" s="620">
        <v>1364600</v>
      </c>
      <c r="M51" s="99">
        <f>C51*E51*F51*K51/1000000*L51</f>
        <v>83.369566313787772</v>
      </c>
      <c r="N51" s="390">
        <f t="shared" ref="N51" si="212">0.093055673/G51-0.0002682273*G51+0.00000218*G51^2+0.0173678037</f>
        <v>1.6429035733051291E-2</v>
      </c>
      <c r="O51" s="620">
        <v>5506900</v>
      </c>
      <c r="P51" s="99">
        <f>C51*E51*F51*N51/1000000*O51</f>
        <v>35.196280952096281</v>
      </c>
      <c r="Q51" s="390">
        <f t="shared" ref="Q51" si="213">0.0505593958/G51-0.000357176*G51+0.0000031505*G51^2+0.0131649024</f>
        <v>8.8427484176374117E-3</v>
      </c>
      <c r="R51" s="658">
        <v>11025800</v>
      </c>
      <c r="S51" s="394">
        <f t="shared" ref="S51" si="214">C51*E51*F51*Q51/1000000*R51</f>
        <v>37.929305530127159</v>
      </c>
      <c r="T51" s="665"/>
      <c r="U51" s="665"/>
      <c r="V51" s="665"/>
      <c r="W51" s="662"/>
    </row>
    <row r="52" spans="1:23" ht="19.7" customHeight="1">
      <c r="A52" s="541"/>
      <c r="B52" s="542"/>
      <c r="C52" s="566"/>
      <c r="D52" s="134" t="s">
        <v>66</v>
      </c>
      <c r="E52" s="295">
        <f>'ｼｰﾄNO.4（表-4）60頁'!K54</f>
        <v>2.5</v>
      </c>
      <c r="F52" s="544"/>
      <c r="G52" s="544"/>
      <c r="H52" s="296">
        <f>12.28697452/G51-0.05907844*G51+0.00051753*G51^2+2.69979197</f>
        <v>2.154308237381608</v>
      </c>
      <c r="I52" s="621"/>
      <c r="J52" s="221">
        <f t="shared" ref="J52" si="215">C51*E52*F51*H52/1000000*I51</f>
        <v>0.26465676696233059</v>
      </c>
      <c r="K52" s="391">
        <f t="shared" ref="K52" si="216">9.45345681/G51-0.14325844*G51+0.00124097*G51^2+5.98054622</f>
        <v>3.7625703620867768</v>
      </c>
      <c r="L52" s="621"/>
      <c r="M52" s="221">
        <f>C51*E52*F51*K52/1000000*L51</f>
        <v>105.12691199222152</v>
      </c>
      <c r="N52" s="391">
        <f t="shared" ref="N52" si="217">0.6037810576/G51-0.0052863845*G51+0.0000423961*G51^2+0.3189943526</f>
        <v>0.24649420636382</v>
      </c>
      <c r="O52" s="621"/>
      <c r="P52" s="221">
        <f>C51*E52*F51*N52/1000000*O51</f>
        <v>27.793152899385248</v>
      </c>
      <c r="Q52" s="392">
        <f t="shared" ref="Q52" si="218">1.5469182952/G51-0.0051393982*G51+0.0000404677*G51^2+0.2460289003</f>
        <v>0.2170526901967598</v>
      </c>
      <c r="R52" s="659"/>
      <c r="S52" s="393">
        <f t="shared" ref="S52" si="219">C51*E52*F51*Q52/1000000*R51</f>
        <v>49.000351318425125</v>
      </c>
      <c r="T52" s="665"/>
      <c r="U52" s="665"/>
      <c r="V52" s="665"/>
      <c r="W52" s="662"/>
    </row>
    <row r="53" spans="1:23" ht="19.7" customHeight="1">
      <c r="A53" s="541"/>
      <c r="B53" s="540" t="s">
        <v>367</v>
      </c>
      <c r="C53" s="553">
        <f>'ｼｰﾄNO.3（表-3）59頁'!$F$30</f>
        <v>9</v>
      </c>
      <c r="D53" s="133" t="s">
        <v>65</v>
      </c>
      <c r="E53" s="294">
        <f>'ｼｰﾄNO.4（表-4）60頁'!K55</f>
        <v>743.84999999999991</v>
      </c>
      <c r="F53" s="543">
        <f>'ｼｰﾄNO.4（表-4）60頁'!C55/1000</f>
        <v>0.61699999999999999</v>
      </c>
      <c r="G53" s="543">
        <f>F53/('ｼｰﾄNO.4（表-4）60頁'!H55/3600)</f>
        <v>27.087804878048779</v>
      </c>
      <c r="H53" s="293">
        <f>-2.71095565/G53-0.09453616*G53+0.00089493*G53^2+3.15403637</f>
        <v>1.1498331610692509</v>
      </c>
      <c r="I53" s="620">
        <v>6000</v>
      </c>
      <c r="J53" s="99">
        <f t="shared" ref="J53" si="220">C53*E53*F53*H53/1000000*I53</f>
        <v>28.496998576626869</v>
      </c>
      <c r="K53" s="390">
        <f t="shared" ref="K53" si="221">-0.25063622/G53-0.00657231*G53+0.00005332*G53^2+0.29056757</f>
        <v>0.14240889225716619</v>
      </c>
      <c r="L53" s="620">
        <v>1364600</v>
      </c>
      <c r="M53" s="99">
        <f>C53*E53*F53*K53/1000000*L53</f>
        <v>802.70416425516157</v>
      </c>
      <c r="N53" s="390">
        <f t="shared" ref="N53" si="222">0.093055673/G53-0.0002682273*G53+0.00000218*G53^2+0.0173678037</f>
        <v>1.5137022719626959E-2</v>
      </c>
      <c r="O53" s="620">
        <v>5506900</v>
      </c>
      <c r="P53" s="99">
        <f>C53*E53*F53*N53/1000000*O53</f>
        <v>344.31876646484949</v>
      </c>
      <c r="Q53" s="390">
        <f t="shared" ref="Q53" si="223">0.0505593958/G53-0.000357176*G53+0.0000031505*G53^2+0.0131649024</f>
        <v>7.6679656699207913E-3</v>
      </c>
      <c r="R53" s="658">
        <v>11025800</v>
      </c>
      <c r="S53" s="375">
        <f t="shared" ref="S53" si="224">C53*E53*F53*Q53/1000000*R53</f>
        <v>349.22337975384124</v>
      </c>
      <c r="T53" s="665"/>
      <c r="U53" s="665"/>
      <c r="V53" s="665"/>
      <c r="W53" s="662"/>
    </row>
    <row r="54" spans="1:23" ht="19.7" customHeight="1">
      <c r="A54" s="542"/>
      <c r="B54" s="542"/>
      <c r="C54" s="566"/>
      <c r="D54" s="134" t="s">
        <v>66</v>
      </c>
      <c r="E54" s="298">
        <f>'ｼｰﾄNO.4（表-4）60頁'!K56</f>
        <v>39.150000000000006</v>
      </c>
      <c r="F54" s="544"/>
      <c r="G54" s="544"/>
      <c r="H54" s="296">
        <f>12.28697452/G53-0.05907844*G53+0.00051753*G53^2+2.69979197</f>
        <v>1.9328219392155921</v>
      </c>
      <c r="I54" s="621"/>
      <c r="J54" s="221">
        <f t="shared" ref="J54" si="225">C53*E54*F53*H54/1000000*I53</f>
        <v>2.5211723576662366</v>
      </c>
      <c r="K54" s="391">
        <f t="shared" ref="K54" si="226">9.45345681/G53-0.14325844*G53+0.00124097*G53^2+5.98054622</f>
        <v>3.3595433546140332</v>
      </c>
      <c r="L54" s="621"/>
      <c r="M54" s="221">
        <f>C53*E54*F53*K54/1000000*L53</f>
        <v>996.65547491330858</v>
      </c>
      <c r="N54" s="391">
        <f t="shared" ref="N54" si="227">0.6037810576/G53-0.0052863845*G53+0.0000423961*G53^2+0.3189943526</f>
        <v>0.22919567839342808</v>
      </c>
      <c r="O54" s="621"/>
      <c r="P54" s="221">
        <f>C53*E54*F53*N54/1000000*O53</f>
        <v>274.39301681646873</v>
      </c>
      <c r="Q54" s="392">
        <f t="shared" ref="Q54" si="228">1.5469182952/G53-0.0051393982*G53+0.0000404677*G53^2+0.2460289003</f>
        <v>0.19361458064850001</v>
      </c>
      <c r="R54" s="659"/>
      <c r="S54" s="221">
        <f t="shared" ref="S54" si="229">C53*E54*F53*Q54/1000000*R53</f>
        <v>464.09577011873188</v>
      </c>
      <c r="T54" s="617"/>
      <c r="U54" s="617"/>
      <c r="V54" s="617"/>
      <c r="W54" s="662"/>
    </row>
    <row r="55" spans="1:23" ht="19.7" customHeight="1">
      <c r="A55" s="570" t="s">
        <v>962</v>
      </c>
      <c r="B55" s="540" t="s">
        <v>353</v>
      </c>
      <c r="C55" s="553">
        <f>'ｼｰﾄNO.3（表-3）59頁'!$F$30</f>
        <v>9</v>
      </c>
      <c r="D55" s="133" t="s">
        <v>65</v>
      </c>
      <c r="E55" s="292">
        <f>'ｼｰﾄNO.4（表-4）60頁'!K60</f>
        <v>772.34999999999991</v>
      </c>
      <c r="F55" s="543">
        <f>'ｼｰﾄNO.4（表-4）60頁'!C60/1000</f>
        <v>1.054</v>
      </c>
      <c r="G55" s="543">
        <f>F55/('ｼｰﾄNO.4（表-4）60頁'!H60/3600)</f>
        <v>29.643750000000001</v>
      </c>
      <c r="H55" s="293">
        <f>-2.71095565/G55-0.09453616*G55+0.00089493*G55^2+3.15403637</f>
        <v>1.0466003564631281</v>
      </c>
      <c r="I55" s="620">
        <v>6000</v>
      </c>
      <c r="J55" s="99">
        <f>C55*E55*F55*H55/1000000*I55</f>
        <v>46.007581052948531</v>
      </c>
      <c r="K55" s="390">
        <f t="shared" ref="K55" si="230">-0.25063622/G55-0.00657231*G55+0.00005332*G55^2+0.29056757</f>
        <v>0.13413976437914132</v>
      </c>
      <c r="L55" s="620">
        <v>1364600</v>
      </c>
      <c r="M55" s="99">
        <f>C55*E55*F55*K55/1000000*L55</f>
        <v>1341.0969576596506</v>
      </c>
      <c r="N55" s="390">
        <f t="shared" ref="N55" si="231">0.093055673/G55-0.0002682273*G55+0.00000218*G55^2+0.0173678037</f>
        <v>1.4471352818974903E-2</v>
      </c>
      <c r="O55" s="620">
        <v>5506900</v>
      </c>
      <c r="P55" s="99">
        <f>C55*E55*F55*N55/1000000*O55</f>
        <v>583.86654776030605</v>
      </c>
      <c r="Q55" s="390">
        <f t="shared" ref="Q55" si="232">0.0505593958/G55-0.000357176*G55+0.0000031505*G55^2+0.0131649024</f>
        <v>7.0509410543262221E-3</v>
      </c>
      <c r="R55" s="658">
        <v>11025800</v>
      </c>
      <c r="S55" s="375">
        <f>C55*E55*F55*Q55/1000000*R55</f>
        <v>569.5796516277195</v>
      </c>
      <c r="T55" s="616">
        <f>SUM(J55:J78)+SUM(M55:M78)+SUM(P55:P78)+SUM(S55:S78)</f>
        <v>21682.801938929384</v>
      </c>
      <c r="U55" s="616">
        <f>'ｼｰﾄNO.3（表-3）59頁'!$F$34</f>
        <v>38</v>
      </c>
      <c r="V55" s="616">
        <f>T55*U55</f>
        <v>823946.47367931658</v>
      </c>
      <c r="W55" s="662"/>
    </row>
    <row r="56" spans="1:23" ht="19.7" customHeight="1">
      <c r="A56" s="571"/>
      <c r="B56" s="542"/>
      <c r="C56" s="566"/>
      <c r="D56" s="134" t="s">
        <v>66</v>
      </c>
      <c r="E56" s="297">
        <f>'ｼｰﾄNO.4（表-4）60頁'!K61</f>
        <v>40.650000000000006</v>
      </c>
      <c r="F56" s="544"/>
      <c r="G56" s="544"/>
      <c r="H56" s="296">
        <f>12.28697452/G55-0.05907844*G55+0.00051753*G55^2+2.69979197</f>
        <v>1.8177538030136606</v>
      </c>
      <c r="I56" s="621"/>
      <c r="J56" s="221">
        <f>C55*E56*F55*H56/1000000*I55</f>
        <v>4.205619547137033</v>
      </c>
      <c r="K56" s="391">
        <f t="shared" ref="K56" si="233">9.45345681/G55-0.14325844*G55+0.00124097*G55^2+5.98054622</f>
        <v>3.1432357925564749</v>
      </c>
      <c r="L56" s="621"/>
      <c r="M56" s="221">
        <f>C55*E56*F55*K56/1000000*L55</f>
        <v>1653.96379394012</v>
      </c>
      <c r="N56" s="391">
        <f t="shared" ref="N56" si="234">0.6037810576/G55-0.0052863845*G55+0.0000423961*G55^2+0.3189943526</f>
        <v>0.21990965021660547</v>
      </c>
      <c r="O56" s="621"/>
      <c r="P56" s="221">
        <f>C55*E56*F55*N56/1000000*O55</f>
        <v>466.97663161180054</v>
      </c>
      <c r="Q56" s="392">
        <f t="shared" ref="Q56" si="235">1.5469182952/G55-0.0051393982*G55+0.0000404677*G55^2+0.2460289003</f>
        <v>0.18142255744628519</v>
      </c>
      <c r="R56" s="659"/>
      <c r="S56" s="221">
        <f>C55*E56*F55*Q56/1000000*R55</f>
        <v>771.33860028858635</v>
      </c>
      <c r="T56" s="665"/>
      <c r="U56" s="665"/>
      <c r="V56" s="665"/>
      <c r="W56" s="662"/>
    </row>
    <row r="57" spans="1:23" ht="19.7" customHeight="1">
      <c r="A57" s="571"/>
      <c r="B57" s="540" t="s">
        <v>354</v>
      </c>
      <c r="C57" s="553">
        <f>'ｼｰﾄNO.3（表-3）59頁'!$F$30</f>
        <v>9</v>
      </c>
      <c r="D57" s="133" t="s">
        <v>65</v>
      </c>
      <c r="E57" s="292">
        <f>'ｼｰﾄNO.4（表-4）60頁'!K62</f>
        <v>148.19999999999999</v>
      </c>
      <c r="F57" s="543">
        <f>'ｼｰﾄNO.4（表-4）60頁'!C62/1000</f>
        <v>0.76100000000000001</v>
      </c>
      <c r="G57" s="543">
        <f>F57/('ｼｰﾄNO.4（表-4）60頁'!H62/3600)</f>
        <v>27.955102040816328</v>
      </c>
      <c r="H57" s="293">
        <f>-2.71095565/G57-0.09453616*G57+0.00089493*G57^2+3.15403637</f>
        <v>1.1136698404962537</v>
      </c>
      <c r="I57" s="620">
        <v>6000</v>
      </c>
      <c r="J57" s="99">
        <f t="shared" ref="J57" si="236">C57*E57*F57*H57/1000000*I57</f>
        <v>6.7823949966373211</v>
      </c>
      <c r="K57" s="390">
        <f t="shared" ref="K57" si="237">-0.25063622/G57-0.00657231*G57+0.00005332*G57^2+0.29056757</f>
        <v>0.13954122906549798</v>
      </c>
      <c r="L57" s="620">
        <v>1364600</v>
      </c>
      <c r="M57" s="99">
        <f>C57*E57*F57*K57/1000000*L57</f>
        <v>193.27838171207401</v>
      </c>
      <c r="N57" s="390">
        <f t="shared" ref="N57" si="238">0.093055673/G57-0.0002682273*G57+0.00000218*G57^2+0.0173678037</f>
        <v>1.4901879955931608E-2</v>
      </c>
      <c r="O57" s="620">
        <v>5506900</v>
      </c>
      <c r="P57" s="99">
        <f>C57*E57*F57*N57/1000000*O57</f>
        <v>83.295899147207066</v>
      </c>
      <c r="Q57" s="390">
        <f t="shared" ref="Q57" si="239">0.0505593958/G57-0.000357176*G57+0.0000031505*G57^2+0.0131649024</f>
        <v>7.450680750222689E-3</v>
      </c>
      <c r="R57" s="658">
        <v>11025800</v>
      </c>
      <c r="S57" s="394">
        <f t="shared" ref="S57" si="240">C57*E57*F57*Q57/1000000*R57</f>
        <v>83.383752416847187</v>
      </c>
      <c r="T57" s="665"/>
      <c r="U57" s="665"/>
      <c r="V57" s="665"/>
      <c r="W57" s="662"/>
    </row>
    <row r="58" spans="1:23" ht="19.7" customHeight="1">
      <c r="A58" s="571"/>
      <c r="B58" s="542"/>
      <c r="C58" s="566"/>
      <c r="D58" s="134" t="s">
        <v>66</v>
      </c>
      <c r="E58" s="297">
        <f>'ｼｰﾄNO.4（表-4）60頁'!K63</f>
        <v>7.8000000000000007</v>
      </c>
      <c r="F58" s="544"/>
      <c r="G58" s="544"/>
      <c r="H58" s="296">
        <f>12.28697452/G57-0.05907844*G57+0.00051753*G57^2+2.69979197</f>
        <v>1.8922167930969032</v>
      </c>
      <c r="I58" s="621"/>
      <c r="J58" s="221">
        <f t="shared" ref="J58" si="241">C57*E58*F57*H58/1000000*I57</f>
        <v>0.60651830378508842</v>
      </c>
      <c r="K58" s="391">
        <f t="shared" ref="K58" si="242">9.45345681/G57-0.14325844*G57+0.00124097*G57^2+5.98054622</f>
        <v>3.2837104457456512</v>
      </c>
      <c r="L58" s="621"/>
      <c r="M58" s="221">
        <f>C57*E58*F57*K58/1000000*L57</f>
        <v>239.38227516401381</v>
      </c>
      <c r="N58" s="391">
        <f t="shared" ref="N58" si="243">0.6037810576/G57-0.0052863845*G57+0.0000423961*G57^2+0.3189943526</f>
        <v>0.22594320837961243</v>
      </c>
      <c r="O58" s="621"/>
      <c r="P58" s="221">
        <f>C57*E58*F57*N58/1000000*O57</f>
        <v>66.470393611375528</v>
      </c>
      <c r="Q58" s="392">
        <f t="shared" ref="Q58" si="244">1.5469182952/G57-0.0051393982*G57+0.0000404677*G57^2+0.2460289003</f>
        <v>0.18931732307317983</v>
      </c>
      <c r="R58" s="659"/>
      <c r="S58" s="393">
        <f t="shared" ref="S58" si="245">C57*E58*F57*Q58/1000000*R57</f>
        <v>111.51216155921465</v>
      </c>
      <c r="T58" s="665"/>
      <c r="U58" s="665"/>
      <c r="V58" s="665"/>
      <c r="W58" s="662"/>
    </row>
    <row r="59" spans="1:23" ht="19.7" customHeight="1">
      <c r="A59" s="571"/>
      <c r="B59" s="540" t="s">
        <v>355</v>
      </c>
      <c r="C59" s="553">
        <f>'ｼｰﾄNO.3（表-3）59頁'!$F$30</f>
        <v>9</v>
      </c>
      <c r="D59" s="133" t="s">
        <v>65</v>
      </c>
      <c r="E59" s="292">
        <f>'ｼｰﾄNO.4（表-4）60頁'!K64</f>
        <v>41.8</v>
      </c>
      <c r="F59" s="543">
        <f>'ｼｰﾄNO.4（表-4）60頁'!C64/1000</f>
        <v>0.82399999999999995</v>
      </c>
      <c r="G59" s="543">
        <f>F59/('ｼｰﾄNO.4（表-4）60頁'!H64/3600)</f>
        <v>24.927731092436975</v>
      </c>
      <c r="H59" s="293">
        <f>-2.71095565/G59-0.09453616*G59+0.00089493*G59^2+3.15403637</f>
        <v>1.2448139350987362</v>
      </c>
      <c r="I59" s="620">
        <v>6000</v>
      </c>
      <c r="J59" s="99">
        <f t="shared" ref="J59" si="246">C59*E59*F59*H59/1000000*I59</f>
        <v>2.3152702677872101</v>
      </c>
      <c r="K59" s="390">
        <f t="shared" ref="K59" si="247">-0.25063622/G59-0.00657231*G59+0.00005332*G59^2+0.29056757</f>
        <v>0.14981288928616346</v>
      </c>
      <c r="L59" s="620">
        <v>1364600</v>
      </c>
      <c r="M59" s="99">
        <f>C59*E59*F59*K59/1000000*L59</f>
        <v>63.372457634878913</v>
      </c>
      <c r="N59" s="390">
        <f t="shared" ref="N59" si="248">0.093055673/G59-0.0002682273*G59+0.00000218*G59^2+0.0173678037</f>
        <v>1.5769157934508494E-2</v>
      </c>
      <c r="O59" s="620">
        <v>5506900</v>
      </c>
      <c r="P59" s="99">
        <f>C59*E59*F59*N59/1000000*O59</f>
        <v>26.919171908389597</v>
      </c>
      <c r="Q59" s="390">
        <f t="shared" ref="Q59" si="249">0.0505593958/G59-0.000357176*G59+0.0000031505*G59^2+0.0131649024</f>
        <v>8.2472488906841519E-3</v>
      </c>
      <c r="R59" s="658">
        <v>11025800</v>
      </c>
      <c r="S59" s="375">
        <f t="shared" ref="S59" si="250">C59*E59*F59*Q59/1000000*R59</f>
        <v>28.188061769672274</v>
      </c>
      <c r="T59" s="665"/>
      <c r="U59" s="665"/>
      <c r="V59" s="665"/>
      <c r="W59" s="662"/>
    </row>
    <row r="60" spans="1:23" ht="19.7" customHeight="1">
      <c r="A60" s="571"/>
      <c r="B60" s="542"/>
      <c r="C60" s="566"/>
      <c r="D60" s="134" t="s">
        <v>66</v>
      </c>
      <c r="E60" s="295">
        <f>'ｼｰﾄNO.4（表-4）60頁'!K65</f>
        <v>2.2000000000000002</v>
      </c>
      <c r="F60" s="544"/>
      <c r="G60" s="544"/>
      <c r="H60" s="296">
        <f>12.28697452/G59-0.05907844*G59+0.00051753*G59^2+2.69979197</f>
        <v>2.0415932365843594</v>
      </c>
      <c r="I60" s="621"/>
      <c r="J60" s="221">
        <f t="shared" ref="J60" si="251">C59*E60*F59*H60/1000000*I59</f>
        <v>0.19985401184112686</v>
      </c>
      <c r="K60" s="391">
        <f t="shared" ref="K60" si="252">9.45345681/G59-0.14325844*G59+0.00124097*G59^2+5.98054622</f>
        <v>3.5598014520360097</v>
      </c>
      <c r="L60" s="621"/>
      <c r="M60" s="221">
        <f>C59*E60*F59*K60/1000000*L59</f>
        <v>79.254429618541934</v>
      </c>
      <c r="N60" s="391">
        <f t="shared" ref="N60" si="253">0.6037810576/G59-0.0052863845*G59+0.0000423961*G59^2+0.3189943526</f>
        <v>0.2377826293315011</v>
      </c>
      <c r="O60" s="621"/>
      <c r="P60" s="221">
        <f>C59*E60*F59*N60/1000000*O59</f>
        <v>21.363859698344267</v>
      </c>
      <c r="Q60" s="392">
        <f t="shared" ref="Q60" si="254">1.5469182952/G59-0.0051393982*G59+0.0000404677*G59^2+0.2460289003</f>
        <v>0.2051177809551076</v>
      </c>
      <c r="R60" s="659"/>
      <c r="S60" s="221">
        <f t="shared" ref="S60" si="255">C59*E60*F59*Q60/1000000*R59</f>
        <v>36.898254488818331</v>
      </c>
      <c r="T60" s="665"/>
      <c r="U60" s="665"/>
      <c r="V60" s="665"/>
      <c r="W60" s="662"/>
    </row>
    <row r="61" spans="1:23" ht="19.7" customHeight="1">
      <c r="A61" s="571"/>
      <c r="B61" s="540" t="s">
        <v>357</v>
      </c>
      <c r="C61" s="553">
        <f>'ｼｰﾄNO.3（表-3）59頁'!$F$30</f>
        <v>9</v>
      </c>
      <c r="D61" s="133" t="s">
        <v>65</v>
      </c>
      <c r="E61" s="294">
        <f>'ｼｰﾄNO.4（表-4）60頁'!K66</f>
        <v>753.34999999999991</v>
      </c>
      <c r="F61" s="543">
        <f>'ｼｰﾄNO.4（表-4）60頁'!C66/1000</f>
        <v>1.054</v>
      </c>
      <c r="G61" s="543">
        <f>F61/('ｼｰﾄNO.4（表-4）60頁'!H66/3600)</f>
        <v>30.6</v>
      </c>
      <c r="H61" s="293">
        <f>-2.71095565/G61-0.09453616*G61+0.00089493*G61^2+3.15403637</f>
        <v>1.0106132069045755</v>
      </c>
      <c r="I61" s="620">
        <v>6000</v>
      </c>
      <c r="J61" s="99">
        <f t="shared" ref="J61" si="256">C61*E61*F61*H61/1000000*I61</f>
        <v>43.332738168437615</v>
      </c>
      <c r="K61" s="390">
        <f t="shared" ref="K61" si="257">-0.25063622/G61-0.00657231*G61+0.00005332*G61^2+0.29056757</f>
        <v>0.13119087305620916</v>
      </c>
      <c r="L61" s="620">
        <v>1364600</v>
      </c>
      <c r="M61" s="99">
        <f>C61*E61*F61*K61/1000000*L61</f>
        <v>1279.3486114663865</v>
      </c>
      <c r="N61" s="390">
        <f t="shared" ref="N61" si="258">0.093055673/G61-0.0002682273*G61+0.00000218*G61^2+0.0173678037</f>
        <v>1.4242348185359476E-2</v>
      </c>
      <c r="O61" s="620">
        <v>5506900</v>
      </c>
      <c r="P61" s="99">
        <f>C61*E61*F61*N61/1000000*O61</f>
        <v>560.4910756012647</v>
      </c>
      <c r="Q61" s="390">
        <f t="shared" ref="Q61" si="259">0.0505593958/G61-0.000357176*G61+0.0000031505*G61^2+0.0131649024</f>
        <v>6.8375868166013053E-3</v>
      </c>
      <c r="R61" s="658">
        <v>11025800</v>
      </c>
      <c r="S61" s="394">
        <f t="shared" ref="S61" si="260">C61*E61*F61*Q61/1000000*R61</f>
        <v>538.75693922824041</v>
      </c>
      <c r="T61" s="665"/>
      <c r="U61" s="665"/>
      <c r="V61" s="665"/>
      <c r="W61" s="662"/>
    </row>
    <row r="62" spans="1:23" ht="19.7" customHeight="1">
      <c r="A62" s="571"/>
      <c r="B62" s="542"/>
      <c r="C62" s="566"/>
      <c r="D62" s="134" t="s">
        <v>66</v>
      </c>
      <c r="E62" s="298">
        <f>'ｼｰﾄNO.4（表-4）60頁'!K67</f>
        <v>39.650000000000006</v>
      </c>
      <c r="F62" s="544"/>
      <c r="G62" s="544"/>
      <c r="H62" s="296">
        <f>12.28697452/G61-0.05907844*G61+0.00051753*G61^2+2.69979197</f>
        <v>1.7781212118326797</v>
      </c>
      <c r="I62" s="621"/>
      <c r="J62" s="221">
        <f t="shared" ref="J62" si="261">C61*E62*F61*H62/1000000*I61</f>
        <v>4.0127206342943182</v>
      </c>
      <c r="K62" s="391">
        <f t="shared" ref="K62" si="262">9.45345681/G61-0.14325844*G61+0.00124097*G61^2+5.98054622</f>
        <v>3.0677691222588237</v>
      </c>
      <c r="L62" s="621"/>
      <c r="M62" s="221">
        <f>C61*E62*F61*K62/1000000*L61</f>
        <v>1574.5423665336648</v>
      </c>
      <c r="N62" s="391">
        <f t="shared" ref="N62" si="263">0.6037810576/G61-0.0052863845*G61+0.0000423961*G61^2+0.3189943526</f>
        <v>0.21666040620711108</v>
      </c>
      <c r="O62" s="621"/>
      <c r="P62" s="221">
        <f>C61*E62*F61*N62/1000000*O61</f>
        <v>448.75887974436336</v>
      </c>
      <c r="Q62" s="392">
        <f t="shared" ref="Q62" si="264">1.5469182952/G61-0.0051393982*G61+0.0000404677*G61^2+0.2460289003</f>
        <v>0.17720853641605228</v>
      </c>
      <c r="R62" s="659"/>
      <c r="S62" s="393">
        <f t="shared" ref="S62" si="265">C61*E62*F61*Q62/1000000*R61</f>
        <v>734.88783970596694</v>
      </c>
      <c r="T62" s="665"/>
      <c r="U62" s="665"/>
      <c r="V62" s="665"/>
      <c r="W62" s="662"/>
    </row>
    <row r="63" spans="1:23" ht="19.7" customHeight="1">
      <c r="A63" s="571"/>
      <c r="B63" s="540" t="s">
        <v>358</v>
      </c>
      <c r="C63" s="553">
        <f>'ｼｰﾄNO.3（表-3）59頁'!$F$30</f>
        <v>9</v>
      </c>
      <c r="D63" s="133" t="s">
        <v>65</v>
      </c>
      <c r="E63" s="292">
        <f>'ｼｰﾄNO.4（表-4）60頁'!K68</f>
        <v>39.9</v>
      </c>
      <c r="F63" s="543">
        <f>'ｼｰﾄNO.4（表-4）60頁'!C68/1000</f>
        <v>0.84799999999999998</v>
      </c>
      <c r="G63" s="543">
        <f>F63/('ｼｰﾄNO.4（表-4）60頁'!H68/3600)</f>
        <v>22.613333333333333</v>
      </c>
      <c r="H63" s="293">
        <f>-2.71095565/G63-0.09453616*G63+0.00089493*G63^2+3.15403637</f>
        <v>1.3540095598927391</v>
      </c>
      <c r="I63" s="620">
        <v>6000</v>
      </c>
      <c r="J63" s="99">
        <f t="shared" ref="J63" si="266">C63*E63*F63*H63/1000000*I63</f>
        <v>2.4739119500876714</v>
      </c>
      <c r="K63" s="390">
        <f t="shared" ref="K63" si="267">-0.25063622/G63-0.00657231*G63+0.00005332*G63^2+0.29056757</f>
        <v>0.15812804080870232</v>
      </c>
      <c r="L63" s="620">
        <v>1364600</v>
      </c>
      <c r="M63" s="99">
        <f>C63*E63*F63*K63/1000000*L63</f>
        <v>65.709099336071944</v>
      </c>
      <c r="N63" s="390">
        <f t="shared" ref="N63" si="268">0.093055673/G63-0.0002682273*G63+0.00000218*G63^2+0.0173678037</f>
        <v>1.6532141236016248E-2</v>
      </c>
      <c r="O63" s="620">
        <v>5506900</v>
      </c>
      <c r="P63" s="99">
        <f>C63*E63*F63*N63/1000000*O63</f>
        <v>27.723467876618166</v>
      </c>
      <c r="Q63" s="390">
        <f t="shared" ref="Q63" si="269">0.0505593958/G63-0.000357176*G63+0.0000031505*G63^2+0.0131649024</f>
        <v>8.9348334326093265E-3</v>
      </c>
      <c r="R63" s="658">
        <v>11025800</v>
      </c>
      <c r="S63" s="375">
        <f t="shared" ref="S63" si="270">C63*E63*F63*Q63/1000000*R63</f>
        <v>29.999072557387411</v>
      </c>
      <c r="T63" s="665"/>
      <c r="U63" s="665"/>
      <c r="V63" s="665"/>
      <c r="W63" s="662"/>
    </row>
    <row r="64" spans="1:23" ht="19.7" customHeight="1">
      <c r="A64" s="571"/>
      <c r="B64" s="542"/>
      <c r="C64" s="566"/>
      <c r="D64" s="134" t="s">
        <v>66</v>
      </c>
      <c r="E64" s="295">
        <f>'ｼｰﾄNO.4（表-4）60頁'!K69</f>
        <v>2.1</v>
      </c>
      <c r="F64" s="544"/>
      <c r="G64" s="544"/>
      <c r="H64" s="296">
        <f>12.28697452/G63-0.05907844*G63+0.00051753*G63^2+2.69979197</f>
        <v>2.1718280043001132</v>
      </c>
      <c r="I64" s="621"/>
      <c r="J64" s="221">
        <f t="shared" ref="J64" si="271">C63*E64*F63*H64/1000000*I63</f>
        <v>0.20884993074311264</v>
      </c>
      <c r="K64" s="391">
        <f t="shared" ref="K64" si="272">9.45345681/G63-0.14325844*G63+0.00124097*G63^2+5.98054622</f>
        <v>3.7936292257149553</v>
      </c>
      <c r="L64" s="621"/>
      <c r="M64" s="221">
        <f>C63*E64*F63*K64/1000000*L63</f>
        <v>82.969391653776412</v>
      </c>
      <c r="N64" s="391">
        <f t="shared" ref="N64" si="273">0.6037810576/G63-0.0052863845*G63+0.0000423961*G63^2+0.3189943526</f>
        <v>0.24783159171834482</v>
      </c>
      <c r="O64" s="621"/>
      <c r="P64" s="221">
        <f>C63*E64*F63*N64/1000000*O63</f>
        <v>21.873662798094248</v>
      </c>
      <c r="Q64" s="392">
        <f t="shared" ref="Q64" si="274">1.5469182952/G63-0.0051393982*G63+0.0000404677*G63^2+0.2460289003</f>
        <v>0.21891100770692318</v>
      </c>
      <c r="R64" s="659"/>
      <c r="S64" s="221">
        <f t="shared" ref="S64" si="275">C63*E64*F63*Q64/1000000*R63</f>
        <v>38.684355616894578</v>
      </c>
      <c r="T64" s="665"/>
      <c r="U64" s="665"/>
      <c r="V64" s="665"/>
      <c r="W64" s="662"/>
    </row>
    <row r="65" spans="1:23" ht="19.7" customHeight="1">
      <c r="A65" s="571"/>
      <c r="B65" s="540" t="s">
        <v>359</v>
      </c>
      <c r="C65" s="553">
        <f>'ｼｰﾄNO.3（表-3）59頁'!$F$30</f>
        <v>9</v>
      </c>
      <c r="D65" s="133" t="s">
        <v>65</v>
      </c>
      <c r="E65" s="294">
        <f>'ｼｰﾄNO.4（表-4）60頁'!K70</f>
        <v>147.25</v>
      </c>
      <c r="F65" s="543">
        <f>'ｼｰﾄNO.4（表-4）60頁'!C70/1000</f>
        <v>0.91</v>
      </c>
      <c r="G65" s="543">
        <f>F65/('ｼｰﾄNO.4（表-4）60頁'!H70/3600)</f>
        <v>30.055045871559635</v>
      </c>
      <c r="H65" s="293">
        <f>-2.71095565/G65-0.09453616*G65+0.00089493*G65^2+3.15403637</f>
        <v>1.030943504144429</v>
      </c>
      <c r="I65" s="620">
        <v>6000</v>
      </c>
      <c r="J65" s="99">
        <f t="shared" ref="J65" si="276">C65*E65*F65*H65/1000000*I65</f>
        <v>7.4597680186160291</v>
      </c>
      <c r="K65" s="390">
        <f t="shared" ref="K65" si="277">-0.25063622/G65-0.00657231*G65+0.00005332*G65^2+0.29056757</f>
        <v>0.13286151647220723</v>
      </c>
      <c r="L65" s="620">
        <v>1364600</v>
      </c>
      <c r="M65" s="99">
        <f>C65*E65*F65*K65/1000000*L65</f>
        <v>218.6471280922656</v>
      </c>
      <c r="N65" s="390">
        <f t="shared" ref="N65" si="278">0.093055673/G65-0.0002682273*G65+0.00000218*G65^2+0.0173678037</f>
        <v>1.4371601212148963E-2</v>
      </c>
      <c r="O65" s="620">
        <v>5506900</v>
      </c>
      <c r="P65" s="99">
        <f>C65*E65*F65*N65/1000000*O65</f>
        <v>95.44464196566976</v>
      </c>
      <c r="Q65" s="390">
        <f t="shared" ref="Q65" si="279">0.0505593958/G65-0.000357176*G65+0.0000031505*G65^2+0.0131649024</f>
        <v>6.9580527421799696E-3</v>
      </c>
      <c r="R65" s="658">
        <v>11025800</v>
      </c>
      <c r="S65" s="394">
        <f t="shared" ref="S65" si="280">C65*E65*F65*Q65/1000000*R65</f>
        <v>92.520299940018546</v>
      </c>
      <c r="T65" s="665"/>
      <c r="U65" s="665"/>
      <c r="V65" s="665"/>
      <c r="W65" s="662"/>
    </row>
    <row r="66" spans="1:23" ht="19.7" customHeight="1">
      <c r="A66" s="571"/>
      <c r="B66" s="542"/>
      <c r="C66" s="566"/>
      <c r="D66" s="134" t="s">
        <v>66</v>
      </c>
      <c r="E66" s="298">
        <f>'ｼｰﾄNO.4（表-4）60頁'!K71</f>
        <v>7.75</v>
      </c>
      <c r="F66" s="544"/>
      <c r="G66" s="544"/>
      <c r="H66" s="296">
        <f>12.28697452/G65-0.05907844*G65+0.00051753*G65^2+2.69979197</f>
        <v>1.8004902841038075</v>
      </c>
      <c r="I66" s="621"/>
      <c r="J66" s="221">
        <f t="shared" ref="J66" si="281">C65*E66*F65*H66/1000000*I65</f>
        <v>0.68568971734667361</v>
      </c>
      <c r="K66" s="391">
        <f t="shared" ref="K66" si="282">9.45345681/G65-0.14325844*G65+0.00124097*G65^2+5.98054622</f>
        <v>3.11042070390894</v>
      </c>
      <c r="L66" s="621"/>
      <c r="M66" s="221">
        <f>C65*E66*F65*K66/1000000*L65</f>
        <v>269.40776267464264</v>
      </c>
      <c r="N66" s="391">
        <f t="shared" ref="N66" si="283">0.6037810576/G65-0.0052863845*G65+0.0000423961*G65^2+0.3189943526</f>
        <v>0.21849764061943486</v>
      </c>
      <c r="O66" s="621"/>
      <c r="P66" s="221">
        <f>C65*E66*F65*N66/1000000*O65</f>
        <v>76.372946499504039</v>
      </c>
      <c r="Q66" s="392">
        <f t="shared" ref="Q66" si="284">1.5469182952/G65-0.0051393982*G65+0.0000404677*G65^2+0.2460289003</f>
        <v>0.17958826277182416</v>
      </c>
      <c r="R66" s="659"/>
      <c r="S66" s="393">
        <f t="shared" ref="S66" si="285">C65*E66*F65*Q66/1000000*R65</f>
        <v>125.68216812965736</v>
      </c>
      <c r="T66" s="665"/>
      <c r="U66" s="665"/>
      <c r="V66" s="665"/>
      <c r="W66" s="662"/>
    </row>
    <row r="67" spans="1:23" ht="19.7" customHeight="1">
      <c r="A67" s="571"/>
      <c r="B67" s="540" t="s">
        <v>360</v>
      </c>
      <c r="C67" s="553">
        <f>'ｼｰﾄNO.3（表-3）59頁'!$F$30</f>
        <v>9</v>
      </c>
      <c r="D67" s="133" t="s">
        <v>65</v>
      </c>
      <c r="E67" s="292">
        <f>'ｼｰﾄNO.4（表-4）60頁'!K72</f>
        <v>54.15</v>
      </c>
      <c r="F67" s="543">
        <f>'ｼｰﾄNO.4（表-4）60頁'!C72/1000</f>
        <v>0.76100000000000001</v>
      </c>
      <c r="G67" s="543">
        <f>F67/('ｼｰﾄNO.4（表-4）60頁'!H72/3600)</f>
        <v>22.641322314049585</v>
      </c>
      <c r="H67" s="293">
        <f>-2.71095565/G67-0.09453616*G67+0.00089493*G67^2+3.15403637</f>
        <v>1.3526453340932798</v>
      </c>
      <c r="I67" s="620">
        <v>6000</v>
      </c>
      <c r="J67" s="99">
        <f t="shared" ref="J67" si="286">C67*E67*F67*H67/1000000*I67</f>
        <v>3.009960638502263</v>
      </c>
      <c r="K67" s="390">
        <f t="shared" ref="K67" si="287">-0.25063622/G67-0.00657231*G67+0.00005332*G67^2+0.29056757</f>
        <v>0.15802532673956798</v>
      </c>
      <c r="L67" s="620">
        <v>1364600</v>
      </c>
      <c r="M67" s="99">
        <f>C67*E67*F67*K67/1000000*L67</f>
        <v>79.975633903976131</v>
      </c>
      <c r="N67" s="390">
        <f t="shared" ref="N67" si="288">0.093055673/G67-0.0002682273*G67+0.00000218*G67^2+0.0173678037</f>
        <v>1.6522308062949704E-2</v>
      </c>
      <c r="O67" s="620">
        <v>5506900</v>
      </c>
      <c r="P67" s="99">
        <f>C67*E67*F67*N67/1000000*O67</f>
        <v>33.744541593523081</v>
      </c>
      <c r="Q67" s="390">
        <f t="shared" ref="Q67" si="289">0.0505593958/G67-0.000357176*G67+0.0000031505*G67^2+0.0131649024</f>
        <v>8.9260630618954936E-3</v>
      </c>
      <c r="R67" s="658">
        <v>11025800</v>
      </c>
      <c r="S67" s="375">
        <f t="shared" ref="S67" si="290">C67*E67*F67*Q67/1000000*R67</f>
        <v>36.500237334720801</v>
      </c>
      <c r="T67" s="665"/>
      <c r="U67" s="665"/>
      <c r="V67" s="665"/>
      <c r="W67" s="662"/>
    </row>
    <row r="68" spans="1:23" ht="19.7" customHeight="1">
      <c r="A68" s="571"/>
      <c r="B68" s="542"/>
      <c r="C68" s="566"/>
      <c r="D68" s="134" t="s">
        <v>66</v>
      </c>
      <c r="E68" s="295">
        <f>'ｼｰﾄNO.4（表-4）60頁'!K73</f>
        <v>2.85</v>
      </c>
      <c r="F68" s="544"/>
      <c r="G68" s="544"/>
      <c r="H68" s="296">
        <f>12.28697452/G67-0.05907844*G67+0.00051753*G67^2+2.69979197</f>
        <v>2.1701582938483104</v>
      </c>
      <c r="I68" s="621"/>
      <c r="J68" s="221">
        <f t="shared" ref="J68" si="291">C67*E68*F67*H68/1000000*I67</f>
        <v>0.2541643820430971</v>
      </c>
      <c r="K68" s="391">
        <f t="shared" ref="K68" si="292">9.45345681/G67-0.14325844*G67+0.00124097*G67^2+5.98054622</f>
        <v>3.7906746331889405</v>
      </c>
      <c r="L68" s="621"/>
      <c r="M68" s="221">
        <f>C67*E68*F67*K68/1000000*L67</f>
        <v>100.97035941474519</v>
      </c>
      <c r="N68" s="391">
        <f t="shared" ref="N68" si="293">0.6037810576/G67-0.0052863845*G67+0.0000423961*G67^2+0.3189943526</f>
        <v>0.24770432489329391</v>
      </c>
      <c r="O68" s="621"/>
      <c r="P68" s="221">
        <f>C67*E68*F67*N68/1000000*O67</f>
        <v>26.6264216916239</v>
      </c>
      <c r="Q68" s="392">
        <f t="shared" ref="Q68" si="294">1.5469182952/G67-0.0051393982*G67+0.0000404677*G67^2+0.2460289003</f>
        <v>0.21873385436050466</v>
      </c>
      <c r="R68" s="659"/>
      <c r="S68" s="100">
        <f t="shared" ref="S68" si="295">C67*E68*F67*Q68/1000000*R67</f>
        <v>47.0758469765792</v>
      </c>
      <c r="T68" s="665"/>
      <c r="U68" s="665"/>
      <c r="V68" s="665"/>
      <c r="W68" s="662"/>
    </row>
    <row r="69" spans="1:23" ht="19.7" customHeight="1">
      <c r="A69" s="571"/>
      <c r="B69" s="540" t="s">
        <v>232</v>
      </c>
      <c r="C69" s="553">
        <f>'ｼｰﾄNO.3（表-3）59頁'!$F$30</f>
        <v>9</v>
      </c>
      <c r="D69" s="133" t="s">
        <v>65</v>
      </c>
      <c r="E69" s="294">
        <f>'ｼｰﾄNO.4（表-4）60頁'!K74</f>
        <v>158.65</v>
      </c>
      <c r="F69" s="543">
        <f>'ｼｰﾄNO.4（表-4）60頁'!C74/1000</f>
        <v>0.84799999999999998</v>
      </c>
      <c r="G69" s="543">
        <f>F69/('ｼｰﾄNO.4（表-4）60頁'!H74/3600)</f>
        <v>27.752727272727274</v>
      </c>
      <c r="H69" s="293">
        <f>-2.71095565/G69-0.09453616*G69+0.00089493*G69^2+3.15403637</f>
        <v>1.1220051084994243</v>
      </c>
      <c r="I69" s="620">
        <v>6000</v>
      </c>
      <c r="J69" s="99">
        <f t="shared" ref="J69" si="296">C69*E69*F69*H69/1000000*I69</f>
        <v>8.1512558103415547</v>
      </c>
      <c r="K69" s="390">
        <f t="shared" ref="K69" si="297">-0.25063622/G69-0.00657231*G69+0.00005332*G69^2+0.29056757</f>
        <v>0.14020479834032479</v>
      </c>
      <c r="L69" s="620">
        <v>1364600</v>
      </c>
      <c r="M69" s="99">
        <f>C69*E69*F69*K69/1000000*L69</f>
        <v>231.6576690649122</v>
      </c>
      <c r="N69" s="390">
        <f t="shared" ref="N69" si="298">0.093055673/G69-0.0002682273*G69+0.00000218*G69^2+0.0173678037</f>
        <v>1.4955858884601478E-2</v>
      </c>
      <c r="O69" s="620">
        <v>5506900</v>
      </c>
      <c r="P69" s="99">
        <f>C69*E69*F69*N69/1000000*O69</f>
        <v>99.72337933332777</v>
      </c>
      <c r="Q69" s="390">
        <f t="shared" ref="Q69" si="299">0.0505593958/G69-0.000357176*G69+0.0000031505*G69^2+0.0131649024</f>
        <v>7.5006342486333456E-3</v>
      </c>
      <c r="R69" s="658">
        <v>11025800</v>
      </c>
      <c r="S69" s="393">
        <f t="shared" ref="S69" si="300">C69*E69*F69*Q69/1000000*R69</f>
        <v>100.13514641204659</v>
      </c>
      <c r="T69" s="665"/>
      <c r="U69" s="665"/>
      <c r="V69" s="665"/>
      <c r="W69" s="662"/>
    </row>
    <row r="70" spans="1:23" ht="19.7" customHeight="1">
      <c r="A70" s="571"/>
      <c r="B70" s="542"/>
      <c r="C70" s="566"/>
      <c r="D70" s="134" t="s">
        <v>66</v>
      </c>
      <c r="E70" s="298">
        <f>'ｼｰﾄNO.4（表-4）60頁'!K75</f>
        <v>8.35</v>
      </c>
      <c r="F70" s="544"/>
      <c r="G70" s="544"/>
      <c r="H70" s="296">
        <f>12.28697452/G69-0.05907844*G69+0.00051753*G69^2+2.69979197</f>
        <v>1.9015432666737011</v>
      </c>
      <c r="I70" s="621"/>
      <c r="J70" s="221">
        <f t="shared" ref="J70" si="301">C69*E70*F69*H70/1000000*I69</f>
        <v>0.72708016838380962</v>
      </c>
      <c r="K70" s="391">
        <f t="shared" ref="K70" si="302">9.45345681/G69-0.14325844*G69+0.00124097*G69^2+5.98054622</f>
        <v>3.3011777457107159</v>
      </c>
      <c r="L70" s="621"/>
      <c r="M70" s="221">
        <f>C69*E70*F69*K70/1000000*L69</f>
        <v>287.07747177998772</v>
      </c>
      <c r="N70" s="391">
        <f t="shared" ref="N70" si="303">0.6037810576/G69-0.0052863845*G69+0.0000423961*G69^2+0.3189943526</f>
        <v>0.22669256740568483</v>
      </c>
      <c r="O70" s="621"/>
      <c r="P70" s="221">
        <f>C69*E70*F69*N70/1000000*O69</f>
        <v>79.555334928478416</v>
      </c>
      <c r="Q70" s="392">
        <f t="shared" ref="Q70" si="304">1.5469182952/G69-0.0051393982*G69+0.0000404677*G69^2+0.2460289003</f>
        <v>0.190304692944187</v>
      </c>
      <c r="R70" s="659"/>
      <c r="S70" s="300">
        <f t="shared" ref="S70" si="305">C69*E70*F69*Q70/1000000*R69</f>
        <v>133.71632920900811</v>
      </c>
      <c r="T70" s="665"/>
      <c r="U70" s="665"/>
      <c r="V70" s="665"/>
      <c r="W70" s="662"/>
    </row>
    <row r="71" spans="1:23" ht="19.7" customHeight="1">
      <c r="A71" s="571"/>
      <c r="B71" s="540" t="s">
        <v>361</v>
      </c>
      <c r="C71" s="553">
        <f>'ｼｰﾄNO.3（表-3）59頁'!$F$30</f>
        <v>9</v>
      </c>
      <c r="D71" s="133" t="s">
        <v>65</v>
      </c>
      <c r="E71" s="292">
        <f>'ｼｰﾄNO.4（表-4）60頁'!K76</f>
        <v>738.15</v>
      </c>
      <c r="F71" s="543">
        <f>'ｼｰﾄNO.4（表-4）60頁'!C76/1000</f>
        <v>0.61699999999999999</v>
      </c>
      <c r="G71" s="543">
        <f>F71/('ｼｰﾄNO.4（表-4）60頁'!H76/3600)</f>
        <v>27.087804878048779</v>
      </c>
      <c r="H71" s="293">
        <f>-2.71095565/G71-0.09453616*G71+0.00089493*G71^2+3.15403637</f>
        <v>1.1498331610692509</v>
      </c>
      <c r="I71" s="620">
        <v>6000</v>
      </c>
      <c r="J71" s="99">
        <f t="shared" ref="J71" si="306">C71*E71*F71*H71/1000000*I71</f>
        <v>28.278630771441986</v>
      </c>
      <c r="K71" s="390">
        <f t="shared" ref="K71" si="307">-0.25063622/G71-0.00657231*G71+0.00005332*G71^2+0.29056757</f>
        <v>0.14240889225716619</v>
      </c>
      <c r="L71" s="620">
        <v>1364600</v>
      </c>
      <c r="M71" s="99">
        <f>C71*E71*F71*K71/1000000*L71</f>
        <v>796.55317449075415</v>
      </c>
      <c r="N71" s="390">
        <f t="shared" ref="N71" si="308">0.093055673/G71-0.0002682273*G71+0.00000218*G71^2+0.0173678037</f>
        <v>1.5137022719626959E-2</v>
      </c>
      <c r="O71" s="620">
        <v>5506900</v>
      </c>
      <c r="P71" s="99">
        <f>C71*E71*F71*N71/1000000*O71</f>
        <v>341.68030848427588</v>
      </c>
      <c r="Q71" s="390">
        <f t="shared" ref="Q71" si="309">0.0505593958/G71-0.000357176*G71+0.0000031505*G71^2+0.0131649024</f>
        <v>7.6679656699207913E-3</v>
      </c>
      <c r="R71" s="658">
        <v>11025800</v>
      </c>
      <c r="S71" s="99">
        <f t="shared" ref="S71" si="310">C71*E71*F71*Q71/1000000*R71</f>
        <v>346.54733852967382</v>
      </c>
      <c r="T71" s="665"/>
      <c r="U71" s="665"/>
      <c r="V71" s="665"/>
      <c r="W71" s="662"/>
    </row>
    <row r="72" spans="1:23" ht="19.7" customHeight="1">
      <c r="A72" s="571"/>
      <c r="B72" s="542"/>
      <c r="C72" s="566"/>
      <c r="D72" s="134" t="s">
        <v>66</v>
      </c>
      <c r="E72" s="295">
        <f>'ｼｰﾄNO.4（表-4）60頁'!K77</f>
        <v>38.85</v>
      </c>
      <c r="F72" s="544"/>
      <c r="G72" s="544"/>
      <c r="H72" s="296">
        <f>12.28697452/G71-0.05907844*G71+0.00051753*G71^2+2.69979197</f>
        <v>1.9328219392155921</v>
      </c>
      <c r="I72" s="621"/>
      <c r="J72" s="221">
        <f t="shared" ref="J72" si="311">C71*E72*F71*H72/1000000*I71</f>
        <v>2.5018530292550012</v>
      </c>
      <c r="K72" s="391">
        <f t="shared" ref="K72" si="312">9.45345681/G71-0.14325844*G71+0.00124097*G71^2+5.98054622</f>
        <v>3.3595433546140332</v>
      </c>
      <c r="L72" s="621"/>
      <c r="M72" s="221">
        <f>C71*E72*F71*K72/1000000*L71</f>
        <v>989.01826820899225</v>
      </c>
      <c r="N72" s="391">
        <f t="shared" ref="N72" si="313">0.6037810576/G71-0.0052863845*G71+0.0000423961*G71^2+0.3189943526</f>
        <v>0.22919567839342808</v>
      </c>
      <c r="O72" s="621"/>
      <c r="P72" s="221">
        <f>C71*E72*F71*N72/1000000*O71</f>
        <v>272.29038833511652</v>
      </c>
      <c r="Q72" s="392">
        <f t="shared" ref="Q72" si="314">1.5469182952/G71-0.0051393982*G71+0.0000404677*G71^2+0.2460289003</f>
        <v>0.19361458064850001</v>
      </c>
      <c r="R72" s="659"/>
      <c r="S72" s="100">
        <f t="shared" ref="S72" si="315">C71*E72*F71*Q72/1000000*R71</f>
        <v>460.53948069253465</v>
      </c>
      <c r="T72" s="665"/>
      <c r="U72" s="665"/>
      <c r="V72" s="665"/>
      <c r="W72" s="662"/>
    </row>
    <row r="73" spans="1:23" ht="19.7" customHeight="1">
      <c r="A73" s="571"/>
      <c r="B73" s="540" t="s">
        <v>255</v>
      </c>
      <c r="C73" s="553">
        <f>'ｼｰﾄNO.3（表-3）59頁'!$F$30</f>
        <v>9</v>
      </c>
      <c r="D73" s="133" t="s">
        <v>65</v>
      </c>
      <c r="E73" s="294">
        <f>'ｼｰﾄNO.4（表-4）60頁'!K78</f>
        <v>133</v>
      </c>
      <c r="F73" s="543">
        <f>'ｼｰﾄNO.4（表-4）60頁'!C78/1000</f>
        <v>0.82399999999999995</v>
      </c>
      <c r="G73" s="543">
        <f>F73/('ｼｰﾄNO.4（表-4）60頁'!H78/3600)</f>
        <v>28.523076923076921</v>
      </c>
      <c r="H73" s="293">
        <f>-2.71095565/G73-0.09453616*G73+0.00089493*G73^2+3.15403637</f>
        <v>1.090614460615126</v>
      </c>
      <c r="I73" s="620">
        <v>6000</v>
      </c>
      <c r="J73" s="99">
        <f t="shared" ref="J73" si="316">C73*E73*F73*H73/1000000*I73</f>
        <v>6.4542214782575762</v>
      </c>
      <c r="K73" s="390">
        <f t="shared" ref="K73" si="317">-0.25063622/G73-0.00657231*G73+0.00005332*G73^2+0.29056757</f>
        <v>0.1376972627690112</v>
      </c>
      <c r="L73" s="620">
        <v>1364600</v>
      </c>
      <c r="M73" s="99">
        <f>C73*E73*F73*K73/1000000*L73</f>
        <v>185.33269294035446</v>
      </c>
      <c r="N73" s="390">
        <f t="shared" ref="N73" si="318">0.093055673/G73-0.0002682273*G73+0.00000218*G73^2+0.0173678037</f>
        <v>1.4753179146136358E-2</v>
      </c>
      <c r="O73" s="620">
        <v>5506900</v>
      </c>
      <c r="P73" s="99">
        <f>C73*E73*F73*N73/1000000*O73</f>
        <v>80.133510413074973</v>
      </c>
      <c r="Q73" s="390">
        <f t="shared" ref="Q73" si="319">0.0505593958/G73-0.000357176*G73+0.0000031505*G73^2+0.0131649024</f>
        <v>7.3128619003372843E-3</v>
      </c>
      <c r="R73" s="658">
        <v>11025800</v>
      </c>
      <c r="S73" s="393">
        <f t="shared" ref="S73" si="320">C73*E73*F73*Q73/1000000*R73</f>
        <v>79.527777292467448</v>
      </c>
      <c r="T73" s="665"/>
      <c r="U73" s="665"/>
      <c r="V73" s="665"/>
      <c r="W73" s="662"/>
    </row>
    <row r="74" spans="1:23" ht="19.7" customHeight="1">
      <c r="A74" s="571"/>
      <c r="B74" s="542"/>
      <c r="C74" s="566"/>
      <c r="D74" s="134" t="s">
        <v>66</v>
      </c>
      <c r="E74" s="298">
        <f>'ｼｰﾄNO.4（表-4）60頁'!K79</f>
        <v>7</v>
      </c>
      <c r="F74" s="544"/>
      <c r="G74" s="544"/>
      <c r="H74" s="296">
        <f>12.28697452/G73-0.05907844*G73+0.00051753*G73^2+2.69979197</f>
        <v>1.8665109593380467</v>
      </c>
      <c r="I74" s="621"/>
      <c r="J74" s="221">
        <f t="shared" ref="J74" si="321">C73*E74*F73*H74/1000000*I73</f>
        <v>0.58136590152694001</v>
      </c>
      <c r="K74" s="391">
        <f t="shared" ref="K74" si="322">9.45345681/G73-0.14325844*G73+0.00124097*G73^2+5.98054622</f>
        <v>3.2354174852760047</v>
      </c>
      <c r="L74" s="621"/>
      <c r="M74" s="221">
        <f>C73*E74*F73*K74/1000000*L73</f>
        <v>229.19411195956124</v>
      </c>
      <c r="N74" s="391">
        <f t="shared" ref="N74" si="323">0.6037810576/G73-0.0052863845*G73+0.0000423961*G73^2+0.3189943526</f>
        <v>0.22387058289813042</v>
      </c>
      <c r="O74" s="621"/>
      <c r="P74" s="221">
        <f>C73*E74*F73*N74/1000000*O73</f>
        <v>63.998822177668508</v>
      </c>
      <c r="Q74" s="392">
        <f t="shared" ref="Q74" si="324">1.5469182952/G73-0.0051393982*G73+0.0000404677*G73^2+0.2460289003</f>
        <v>0.18659451238229957</v>
      </c>
      <c r="R74" s="659"/>
      <c r="S74" s="300">
        <f t="shared" ref="S74" si="325">C73*E74*F73*Q74/1000000*R73</f>
        <v>106.80134914832047</v>
      </c>
      <c r="T74" s="665"/>
      <c r="U74" s="665"/>
      <c r="V74" s="665"/>
      <c r="W74" s="662"/>
    </row>
    <row r="75" spans="1:23" ht="19.7" customHeight="1">
      <c r="A75" s="571"/>
      <c r="B75" s="540" t="s">
        <v>362</v>
      </c>
      <c r="C75" s="553">
        <f>'ｼｰﾄNO.3（表-3）59頁'!$F$30</f>
        <v>9</v>
      </c>
      <c r="D75" s="133" t="s">
        <v>65</v>
      </c>
      <c r="E75" s="292">
        <f>'ｼｰﾄNO.4（表-4）60頁'!K80</f>
        <v>47.5</v>
      </c>
      <c r="F75" s="543">
        <f>'ｼｰﾄNO.4（表-4）60頁'!C80/1000</f>
        <v>0.91</v>
      </c>
      <c r="G75" s="543">
        <f>F75/('ｼｰﾄNO.4（表-4）60頁'!H80/3600)</f>
        <v>22.90909090909091</v>
      </c>
      <c r="H75" s="293">
        <f>-2.71095565/G75-0.09453616*G75+0.00089493*G75^2+3.15403637</f>
        <v>1.3396464522592815</v>
      </c>
      <c r="I75" s="620">
        <v>6000</v>
      </c>
      <c r="J75" s="99">
        <f t="shared" ref="J75" si="326">C75*E75*F75*H75/1000000*I75</f>
        <v>3.1269357665410022</v>
      </c>
      <c r="K75" s="390">
        <f t="shared" ref="K75" si="327">-0.25063622/G75-0.00657231*G75+0.00005332*G75^2+0.29056757</f>
        <v>0.15704519892234028</v>
      </c>
      <c r="L75" s="620">
        <v>1364600</v>
      </c>
      <c r="M75" s="99">
        <f>C75*E75*F75*K75/1000000*L75</f>
        <v>83.369566313787772</v>
      </c>
      <c r="N75" s="390">
        <f t="shared" ref="N75" si="328">0.093055673/G75-0.0002682273*G75+0.00000218*G75^2+0.0173678037</f>
        <v>1.6429035733051291E-2</v>
      </c>
      <c r="O75" s="620">
        <v>5506900</v>
      </c>
      <c r="P75" s="99">
        <f>C75*E75*F75*N75/1000000*O75</f>
        <v>35.196280952096281</v>
      </c>
      <c r="Q75" s="390">
        <f t="shared" ref="Q75" si="329">0.0505593958/G75-0.000357176*G75+0.0000031505*G75^2+0.0131649024</f>
        <v>8.8427484176374117E-3</v>
      </c>
      <c r="R75" s="658">
        <v>11025800</v>
      </c>
      <c r="S75" s="99">
        <f t="shared" ref="S75" si="330">C75*E75*F75*Q75/1000000*R75</f>
        <v>37.929305530127159</v>
      </c>
      <c r="T75" s="665"/>
      <c r="U75" s="665"/>
      <c r="V75" s="665"/>
      <c r="W75" s="662"/>
    </row>
    <row r="76" spans="1:23" ht="19.7" customHeight="1">
      <c r="A76" s="571"/>
      <c r="B76" s="542"/>
      <c r="C76" s="566"/>
      <c r="D76" s="134" t="s">
        <v>66</v>
      </c>
      <c r="E76" s="295">
        <f>'ｼｰﾄNO.4（表-4）60頁'!K81</f>
        <v>2.5</v>
      </c>
      <c r="F76" s="544"/>
      <c r="G76" s="544"/>
      <c r="H76" s="296">
        <f>12.28697452/G75-0.05907844*G75+0.00051753*G75^2+2.69979197</f>
        <v>2.154308237381608</v>
      </c>
      <c r="I76" s="621"/>
      <c r="J76" s="221">
        <f t="shared" ref="J76" si="331">C75*E76*F75*H76/1000000*I75</f>
        <v>0.26465676696233059</v>
      </c>
      <c r="K76" s="391">
        <f t="shared" ref="K76" si="332">9.45345681/G75-0.14325844*G75+0.00124097*G75^2+5.98054622</f>
        <v>3.7625703620867768</v>
      </c>
      <c r="L76" s="621"/>
      <c r="M76" s="221">
        <f>C75*E76*F75*K76/1000000*L75</f>
        <v>105.12691199222152</v>
      </c>
      <c r="N76" s="391">
        <f t="shared" ref="N76" si="333">0.6037810576/G75-0.0052863845*G75+0.0000423961*G75^2+0.3189943526</f>
        <v>0.24649420636382</v>
      </c>
      <c r="O76" s="621"/>
      <c r="P76" s="221">
        <f>C75*E76*F75*N76/1000000*O75</f>
        <v>27.793152899385248</v>
      </c>
      <c r="Q76" s="392">
        <f t="shared" ref="Q76" si="334">1.5469182952/G75-0.0051393982*G75+0.0000404677*G75^2+0.2460289003</f>
        <v>0.2170526901967598</v>
      </c>
      <c r="R76" s="659"/>
      <c r="S76" s="100">
        <f t="shared" ref="S76" si="335">C75*E76*F75*Q76/1000000*R75</f>
        <v>49.000351318425125</v>
      </c>
      <c r="T76" s="665"/>
      <c r="U76" s="665"/>
      <c r="V76" s="665"/>
      <c r="W76" s="662"/>
    </row>
    <row r="77" spans="1:23" ht="19.7" customHeight="1">
      <c r="A77" s="571"/>
      <c r="B77" s="540" t="s">
        <v>363</v>
      </c>
      <c r="C77" s="553">
        <f>'ｼｰﾄNO.3（表-3）59頁'!$F$30</f>
        <v>9</v>
      </c>
      <c r="D77" s="133" t="s">
        <v>65</v>
      </c>
      <c r="E77" s="294">
        <f>'ｼｰﾄNO.4（表-4）60頁'!K82</f>
        <v>743.84999999999991</v>
      </c>
      <c r="F77" s="543">
        <f>'ｼｰﾄNO.4（表-4）60頁'!C82/1000</f>
        <v>0.61699999999999999</v>
      </c>
      <c r="G77" s="543">
        <f>F77/('ｼｰﾄNO.4（表-4）60頁'!H82/3600)</f>
        <v>27.087804878048779</v>
      </c>
      <c r="H77" s="293">
        <f>-2.71095565/G77-0.09453616*G77+0.00089493*G77^2+3.15403637</f>
        <v>1.1498331610692509</v>
      </c>
      <c r="I77" s="620">
        <v>6000</v>
      </c>
      <c r="J77" s="99">
        <f t="shared" ref="J77" si="336">C77*E77*F77*H77/1000000*I77</f>
        <v>28.496998576626869</v>
      </c>
      <c r="K77" s="390">
        <f t="shared" ref="K77" si="337">-0.25063622/G77-0.00657231*G77+0.00005332*G77^2+0.29056757</f>
        <v>0.14240889225716619</v>
      </c>
      <c r="L77" s="620">
        <v>1364600</v>
      </c>
      <c r="M77" s="99">
        <f>C77*E77*F77*K77/1000000*L77</f>
        <v>802.70416425516157</v>
      </c>
      <c r="N77" s="390">
        <f t="shared" ref="N77" si="338">0.093055673/G77-0.0002682273*G77+0.00000218*G77^2+0.0173678037</f>
        <v>1.5137022719626959E-2</v>
      </c>
      <c r="O77" s="620">
        <v>5506900</v>
      </c>
      <c r="P77" s="99">
        <f>C77*E77*F77*N77/1000000*O77</f>
        <v>344.31876646484949</v>
      </c>
      <c r="Q77" s="390">
        <f t="shared" ref="Q77" si="339">0.0505593958/G77-0.000357176*G77+0.0000031505*G77^2+0.0131649024</f>
        <v>7.6679656699207913E-3</v>
      </c>
      <c r="R77" s="658">
        <v>11025800</v>
      </c>
      <c r="S77" s="393">
        <f t="shared" ref="S77" si="340">C77*E77*F77*Q77/1000000*R77</f>
        <v>349.22337975384124</v>
      </c>
      <c r="T77" s="665"/>
      <c r="U77" s="665"/>
      <c r="V77" s="665"/>
      <c r="W77" s="662"/>
    </row>
    <row r="78" spans="1:23" ht="19.7" customHeight="1">
      <c r="A78" s="572"/>
      <c r="B78" s="542"/>
      <c r="C78" s="566"/>
      <c r="D78" s="134" t="s">
        <v>66</v>
      </c>
      <c r="E78" s="297">
        <f>'ｼｰﾄNO.4（表-4）60頁'!K83</f>
        <v>39.150000000000006</v>
      </c>
      <c r="F78" s="544"/>
      <c r="G78" s="544"/>
      <c r="H78" s="296">
        <f>12.28697452/G77-0.05907844*G77+0.00051753*G77^2+2.69979197</f>
        <v>1.9328219392155921</v>
      </c>
      <c r="I78" s="621"/>
      <c r="J78" s="221">
        <f t="shared" ref="J78" si="341">C77*E78*F77*H78/1000000*I77</f>
        <v>2.5211723576662366</v>
      </c>
      <c r="K78" s="391">
        <f t="shared" ref="K78" si="342">9.45345681/G77-0.14325844*G77+0.00124097*G77^2+5.98054622</f>
        <v>3.3595433546140332</v>
      </c>
      <c r="L78" s="621"/>
      <c r="M78" s="221">
        <f>C77*E78*F77*K78/1000000*L77</f>
        <v>996.65547491330858</v>
      </c>
      <c r="N78" s="391">
        <f t="shared" ref="N78" si="343">0.6037810576/G77-0.0052863845*G77+0.0000423961*G77^2+0.3189943526</f>
        <v>0.22919567839342808</v>
      </c>
      <c r="O78" s="621"/>
      <c r="P78" s="221">
        <f>C77*E78*F77*N78/1000000*O77</f>
        <v>274.39301681646873</v>
      </c>
      <c r="Q78" s="391">
        <f t="shared" ref="Q78" si="344">1.5469182952/G77-0.0051393982*G77+0.0000404677*G77^2+0.2460289003</f>
        <v>0.19361458064850001</v>
      </c>
      <c r="R78" s="659"/>
      <c r="S78" s="221">
        <f t="shared" ref="S78" si="345">C77*E78*F77*Q78/1000000*R77</f>
        <v>464.09577011873188</v>
      </c>
      <c r="T78" s="617"/>
      <c r="U78" s="617"/>
      <c r="V78" s="617"/>
      <c r="W78" s="663"/>
    </row>
    <row r="79" spans="1:23" ht="19.7" customHeight="1"/>
    <row r="80" spans="1:23" ht="19.7" customHeight="1"/>
    <row r="81" ht="19.7" customHeight="1"/>
  </sheetData>
  <mergeCells count="309">
    <mergeCell ref="B29:B30"/>
    <mergeCell ref="C29:C30"/>
    <mergeCell ref="F29:F30"/>
    <mergeCell ref="G29:G30"/>
    <mergeCell ref="I29:I30"/>
    <mergeCell ref="L29:L30"/>
    <mergeCell ref="O25:O26"/>
    <mergeCell ref="B27:B28"/>
    <mergeCell ref="C27:C28"/>
    <mergeCell ref="F27:F28"/>
    <mergeCell ref="G27:G28"/>
    <mergeCell ref="I27:I28"/>
    <mergeCell ref="L27:L28"/>
    <mergeCell ref="O27:O28"/>
    <mergeCell ref="B25:B26"/>
    <mergeCell ref="C25:C26"/>
    <mergeCell ref="F25:F26"/>
    <mergeCell ref="G25:G26"/>
    <mergeCell ref="I25:I26"/>
    <mergeCell ref="L25:L26"/>
    <mergeCell ref="B23:B24"/>
    <mergeCell ref="C23:C24"/>
    <mergeCell ref="F23:F24"/>
    <mergeCell ref="G23:G24"/>
    <mergeCell ref="I23:I24"/>
    <mergeCell ref="L23:L24"/>
    <mergeCell ref="O23:O24"/>
    <mergeCell ref="B21:B22"/>
    <mergeCell ref="C21:C22"/>
    <mergeCell ref="F21:F22"/>
    <mergeCell ref="G21:G22"/>
    <mergeCell ref="I21:I22"/>
    <mergeCell ref="L21:L22"/>
    <mergeCell ref="C19:C20"/>
    <mergeCell ref="F19:F20"/>
    <mergeCell ref="G19:G20"/>
    <mergeCell ref="I19:I20"/>
    <mergeCell ref="L19:L20"/>
    <mergeCell ref="O19:O20"/>
    <mergeCell ref="B17:B18"/>
    <mergeCell ref="C17:C18"/>
    <mergeCell ref="F17:F18"/>
    <mergeCell ref="G17:G18"/>
    <mergeCell ref="I17:I18"/>
    <mergeCell ref="L17:L18"/>
    <mergeCell ref="F15:F16"/>
    <mergeCell ref="G15:G16"/>
    <mergeCell ref="I15:I16"/>
    <mergeCell ref="L15:L16"/>
    <mergeCell ref="O15:O16"/>
    <mergeCell ref="B13:B14"/>
    <mergeCell ref="C13:C14"/>
    <mergeCell ref="F13:F14"/>
    <mergeCell ref="G13:G14"/>
    <mergeCell ref="I13:I14"/>
    <mergeCell ref="L13:L14"/>
    <mergeCell ref="I11:I12"/>
    <mergeCell ref="L11:L12"/>
    <mergeCell ref="O11:O12"/>
    <mergeCell ref="T7:T30"/>
    <mergeCell ref="U7:U30"/>
    <mergeCell ref="V7:V30"/>
    <mergeCell ref="O13:O14"/>
    <mergeCell ref="O17:O18"/>
    <mergeCell ref="O21:O22"/>
    <mergeCell ref="O29:O30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F9:F10"/>
    <mergeCell ref="G9:G10"/>
    <mergeCell ref="I9:I10"/>
    <mergeCell ref="L9:L10"/>
    <mergeCell ref="O9:O10"/>
    <mergeCell ref="O53:O54"/>
    <mergeCell ref="A7:A30"/>
    <mergeCell ref="B7:B8"/>
    <mergeCell ref="C7:C8"/>
    <mergeCell ref="F7:F8"/>
    <mergeCell ref="G7:G8"/>
    <mergeCell ref="I7:I8"/>
    <mergeCell ref="L7:L8"/>
    <mergeCell ref="O7:O8"/>
    <mergeCell ref="B11:B12"/>
    <mergeCell ref="B53:B54"/>
    <mergeCell ref="C53:C54"/>
    <mergeCell ref="F53:F54"/>
    <mergeCell ref="G53:G54"/>
    <mergeCell ref="I53:I54"/>
    <mergeCell ref="L53:L54"/>
    <mergeCell ref="C11:C12"/>
    <mergeCell ref="F11:F12"/>
    <mergeCell ref="G11:G12"/>
    <mergeCell ref="F51:F52"/>
    <mergeCell ref="G51:G52"/>
    <mergeCell ref="I51:I52"/>
    <mergeCell ref="L51:L52"/>
    <mergeCell ref="O51:O52"/>
    <mergeCell ref="B49:B50"/>
    <mergeCell ref="C49:C50"/>
    <mergeCell ref="F49:F50"/>
    <mergeCell ref="G49:G50"/>
    <mergeCell ref="I49:I50"/>
    <mergeCell ref="L49:L50"/>
    <mergeCell ref="F47:F48"/>
    <mergeCell ref="G47:G48"/>
    <mergeCell ref="I47:I48"/>
    <mergeCell ref="L47:L48"/>
    <mergeCell ref="O47:O48"/>
    <mergeCell ref="B45:B46"/>
    <mergeCell ref="C45:C46"/>
    <mergeCell ref="F45:F46"/>
    <mergeCell ref="G45:G46"/>
    <mergeCell ref="I45:I46"/>
    <mergeCell ref="L45:L46"/>
    <mergeCell ref="F43:F44"/>
    <mergeCell ref="G43:G44"/>
    <mergeCell ref="I43:I44"/>
    <mergeCell ref="L43:L44"/>
    <mergeCell ref="O43:O44"/>
    <mergeCell ref="B41:B42"/>
    <mergeCell ref="C41:C42"/>
    <mergeCell ref="F41:F42"/>
    <mergeCell ref="G41:G42"/>
    <mergeCell ref="I41:I42"/>
    <mergeCell ref="L41:L42"/>
    <mergeCell ref="F39:F40"/>
    <mergeCell ref="G39:G40"/>
    <mergeCell ref="I39:I40"/>
    <mergeCell ref="L39:L40"/>
    <mergeCell ref="O39:O40"/>
    <mergeCell ref="B37:B38"/>
    <mergeCell ref="C37:C38"/>
    <mergeCell ref="F37:F38"/>
    <mergeCell ref="G37:G38"/>
    <mergeCell ref="I37:I38"/>
    <mergeCell ref="L37:L38"/>
    <mergeCell ref="G35:G36"/>
    <mergeCell ref="I35:I36"/>
    <mergeCell ref="L35:L36"/>
    <mergeCell ref="O35:O36"/>
    <mergeCell ref="T31:T54"/>
    <mergeCell ref="U31:U54"/>
    <mergeCell ref="V31:V54"/>
    <mergeCell ref="O37:O38"/>
    <mergeCell ref="O41:O42"/>
    <mergeCell ref="O45:O46"/>
    <mergeCell ref="O49:O50"/>
    <mergeCell ref="R45:R46"/>
    <mergeCell ref="R47:R48"/>
    <mergeCell ref="R49:R50"/>
    <mergeCell ref="R51:R52"/>
    <mergeCell ref="R53:R54"/>
    <mergeCell ref="R39:R40"/>
    <mergeCell ref="R41:R42"/>
    <mergeCell ref="R43:R44"/>
    <mergeCell ref="R37:R38"/>
    <mergeCell ref="R35:R36"/>
    <mergeCell ref="F33:F34"/>
    <mergeCell ref="G33:G34"/>
    <mergeCell ref="I33:I34"/>
    <mergeCell ref="L33:L34"/>
    <mergeCell ref="O33:O34"/>
    <mergeCell ref="O77:O78"/>
    <mergeCell ref="A31:A54"/>
    <mergeCell ref="B31:B32"/>
    <mergeCell ref="C31:C32"/>
    <mergeCell ref="F31:F32"/>
    <mergeCell ref="G31:G32"/>
    <mergeCell ref="I31:I32"/>
    <mergeCell ref="L31:L32"/>
    <mergeCell ref="O31:O32"/>
    <mergeCell ref="B35:B36"/>
    <mergeCell ref="B77:B78"/>
    <mergeCell ref="C77:C78"/>
    <mergeCell ref="F77:F78"/>
    <mergeCell ref="G77:G78"/>
    <mergeCell ref="I77:I78"/>
    <mergeCell ref="L77:L78"/>
    <mergeCell ref="A55:A78"/>
    <mergeCell ref="C35:C36"/>
    <mergeCell ref="F35:F36"/>
    <mergeCell ref="B75:B76"/>
    <mergeCell ref="C75:C76"/>
    <mergeCell ref="F75:F76"/>
    <mergeCell ref="G75:G76"/>
    <mergeCell ref="I75:I76"/>
    <mergeCell ref="L75:L76"/>
    <mergeCell ref="O75:O76"/>
    <mergeCell ref="B73:B74"/>
    <mergeCell ref="C73:C74"/>
    <mergeCell ref="F73:F74"/>
    <mergeCell ref="G73:G74"/>
    <mergeCell ref="I73:I74"/>
    <mergeCell ref="L73:L74"/>
    <mergeCell ref="R69:R70"/>
    <mergeCell ref="L61:L62"/>
    <mergeCell ref="R71:R72"/>
    <mergeCell ref="F65:F66"/>
    <mergeCell ref="G65:G66"/>
    <mergeCell ref="I65:I66"/>
    <mergeCell ref="L65:L66"/>
    <mergeCell ref="O69:O70"/>
    <mergeCell ref="B71:B72"/>
    <mergeCell ref="C71:C72"/>
    <mergeCell ref="F71:F72"/>
    <mergeCell ref="G71:G72"/>
    <mergeCell ref="I71:I72"/>
    <mergeCell ref="L71:L72"/>
    <mergeCell ref="O71:O72"/>
    <mergeCell ref="B69:B70"/>
    <mergeCell ref="C69:C70"/>
    <mergeCell ref="F69:F70"/>
    <mergeCell ref="G69:G70"/>
    <mergeCell ref="I69:I70"/>
    <mergeCell ref="L69:L70"/>
    <mergeCell ref="C65:C66"/>
    <mergeCell ref="B67:B68"/>
    <mergeCell ref="R67:R68"/>
    <mergeCell ref="F55:F56"/>
    <mergeCell ref="G55:G56"/>
    <mergeCell ref="L55:L56"/>
    <mergeCell ref="O55:O56"/>
    <mergeCell ref="T55:T78"/>
    <mergeCell ref="U55:U78"/>
    <mergeCell ref="V55:V78"/>
    <mergeCell ref="O61:O62"/>
    <mergeCell ref="O63:O64"/>
    <mergeCell ref="O65:O66"/>
    <mergeCell ref="O67:O68"/>
    <mergeCell ref="L57:L58"/>
    <mergeCell ref="O57:O58"/>
    <mergeCell ref="L59:L60"/>
    <mergeCell ref="O59:O60"/>
    <mergeCell ref="L67:L68"/>
    <mergeCell ref="O73:O74"/>
    <mergeCell ref="L63:L64"/>
    <mergeCell ref="R55:R56"/>
    <mergeCell ref="R57:R58"/>
    <mergeCell ref="R59:R60"/>
    <mergeCell ref="R61:R62"/>
    <mergeCell ref="R63:R64"/>
    <mergeCell ref="R65:R66"/>
    <mergeCell ref="B57:B58"/>
    <mergeCell ref="C57:C58"/>
    <mergeCell ref="D3:E3"/>
    <mergeCell ref="D4:E4"/>
    <mergeCell ref="D5:E5"/>
    <mergeCell ref="A6:B6"/>
    <mergeCell ref="D6:E6"/>
    <mergeCell ref="B55:B56"/>
    <mergeCell ref="C55:C56"/>
    <mergeCell ref="B33:B34"/>
    <mergeCell ref="C33:C34"/>
    <mergeCell ref="B39:B40"/>
    <mergeCell ref="C39:C40"/>
    <mergeCell ref="B43:B44"/>
    <mergeCell ref="C43:C44"/>
    <mergeCell ref="B47:B48"/>
    <mergeCell ref="C47:C48"/>
    <mergeCell ref="B51:B52"/>
    <mergeCell ref="C51:C52"/>
    <mergeCell ref="B9:B10"/>
    <mergeCell ref="C9:C10"/>
    <mergeCell ref="B15:B16"/>
    <mergeCell ref="C15:C16"/>
    <mergeCell ref="B19:B20"/>
    <mergeCell ref="C63:C64"/>
    <mergeCell ref="F63:F64"/>
    <mergeCell ref="G63:G64"/>
    <mergeCell ref="I63:I64"/>
    <mergeCell ref="B61:B62"/>
    <mergeCell ref="C61:C62"/>
    <mergeCell ref="F61:F62"/>
    <mergeCell ref="G61:G62"/>
    <mergeCell ref="I61:I62"/>
    <mergeCell ref="R73:R74"/>
    <mergeCell ref="B3:B5"/>
    <mergeCell ref="A3:A5"/>
    <mergeCell ref="W3:W6"/>
    <mergeCell ref="R75:R76"/>
    <mergeCell ref="R77:R78"/>
    <mergeCell ref="R31:R32"/>
    <mergeCell ref="R33:R34"/>
    <mergeCell ref="W7:W78"/>
    <mergeCell ref="F57:F58"/>
    <mergeCell ref="G57:G58"/>
    <mergeCell ref="I57:I58"/>
    <mergeCell ref="B59:B60"/>
    <mergeCell ref="C59:C60"/>
    <mergeCell ref="F59:F60"/>
    <mergeCell ref="G59:G60"/>
    <mergeCell ref="I59:I60"/>
    <mergeCell ref="B63:B64"/>
    <mergeCell ref="C67:C68"/>
    <mergeCell ref="F67:F68"/>
    <mergeCell ref="G67:G68"/>
    <mergeCell ref="I67:I68"/>
    <mergeCell ref="B65:B66"/>
    <mergeCell ref="I55:I56"/>
  </mergeCells>
  <phoneticPr fontId="3"/>
  <pageMargins left="0.39370078740157483" right="0.39370078740157483" top="0.55118110236220474" bottom="0.35433070866141736" header="0.31496062992125984" footer="0.31496062992125984"/>
  <pageSetup paperSize="8" scale="53" orientation="portrait" r:id="rId1"/>
  <headerFooter>
    <oddHeader xml:space="preserve">&amp;C&amp;"ＭＳ 明朝,太字"&amp;20&amp;K000000 </oddHeader>
  </headerFooter>
  <ignoredErrors>
    <ignoredError sqref="H79:S79 O31:P54 L31:M54 S31:S54 I31:J54 H7:S30 H55:S78 H31:H54 K31:K54 N31:N54 Q31:R54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opLeftCell="G1" zoomScale="70" zoomScaleNormal="70" workbookViewId="0">
      <selection activeCell="X1" sqref="X1"/>
    </sheetView>
  </sheetViews>
  <sheetFormatPr defaultColWidth="8.875" defaultRowHeight="13.5"/>
  <cols>
    <col min="1" max="1" width="13.5" style="140" customWidth="1"/>
    <col min="2" max="2" width="8" style="140" customWidth="1"/>
    <col min="3" max="3" width="9" style="140" customWidth="1"/>
    <col min="4" max="5" width="6.125" style="140" customWidth="1"/>
    <col min="6" max="6" width="8.375" style="140" customWidth="1"/>
    <col min="7" max="7" width="8.625" style="140" customWidth="1"/>
    <col min="8" max="8" width="9.875" style="140" customWidth="1"/>
    <col min="9" max="9" width="13.625" style="140" customWidth="1"/>
    <col min="10" max="10" width="16.75" style="140" customWidth="1"/>
    <col min="11" max="11" width="9.875" style="140" customWidth="1"/>
    <col min="12" max="12" width="13.5" style="140" customWidth="1"/>
    <col min="13" max="13" width="16.75" style="140" customWidth="1"/>
    <col min="14" max="14" width="9.875" style="140" customWidth="1"/>
    <col min="15" max="15" width="13.5" style="140" customWidth="1"/>
    <col min="16" max="16" width="16.75" style="140" customWidth="1"/>
    <col min="17" max="17" width="9.875" style="140" customWidth="1"/>
    <col min="18" max="18" width="13.5" style="140" customWidth="1"/>
    <col min="19" max="19" width="16.75" style="140" customWidth="1"/>
    <col min="20" max="20" width="9.875" style="140" customWidth="1"/>
    <col min="21" max="21" width="9.5" style="140" customWidth="1"/>
    <col min="22" max="22" width="11.375" style="140" customWidth="1"/>
    <col min="23" max="23" width="14.125" style="140" customWidth="1"/>
    <col min="24" max="16384" width="8.875" style="140"/>
  </cols>
  <sheetData>
    <row r="1" spans="1:23" s="284" customFormat="1" ht="15.6" customHeight="1">
      <c r="A1" s="284" t="s">
        <v>692</v>
      </c>
      <c r="W1" s="389"/>
    </row>
    <row r="2" spans="1:23" s="284" customFormat="1" ht="15.6" customHeight="1"/>
    <row r="3" spans="1:23" ht="42.75" customHeight="1">
      <c r="A3" s="660" t="s">
        <v>560</v>
      </c>
      <c r="B3" s="660" t="s">
        <v>578</v>
      </c>
      <c r="C3" s="233" t="s">
        <v>121</v>
      </c>
      <c r="D3" s="547" t="s">
        <v>13</v>
      </c>
      <c r="E3" s="547"/>
      <c r="F3" s="249" t="s">
        <v>67</v>
      </c>
      <c r="G3" s="249" t="s">
        <v>76</v>
      </c>
      <c r="H3" s="135" t="s">
        <v>983</v>
      </c>
      <c r="I3" s="235" t="s">
        <v>986</v>
      </c>
      <c r="J3" s="235" t="s">
        <v>985</v>
      </c>
      <c r="K3" s="135" t="s">
        <v>101</v>
      </c>
      <c r="L3" s="235" t="s">
        <v>334</v>
      </c>
      <c r="M3" s="235" t="s">
        <v>335</v>
      </c>
      <c r="N3" s="135" t="s">
        <v>837</v>
      </c>
      <c r="O3" s="235" t="s">
        <v>839</v>
      </c>
      <c r="P3" s="235" t="s">
        <v>838</v>
      </c>
      <c r="Q3" s="135" t="s">
        <v>336</v>
      </c>
      <c r="R3" s="235" t="s">
        <v>337</v>
      </c>
      <c r="S3" s="235" t="s">
        <v>338</v>
      </c>
      <c r="T3" s="235" t="s">
        <v>451</v>
      </c>
      <c r="U3" s="235" t="s">
        <v>88</v>
      </c>
      <c r="V3" s="235" t="s">
        <v>451</v>
      </c>
      <c r="W3" s="540" t="s">
        <v>693</v>
      </c>
    </row>
    <row r="4" spans="1:23">
      <c r="A4" s="660"/>
      <c r="B4" s="660"/>
      <c r="C4" s="231" t="s">
        <v>564</v>
      </c>
      <c r="D4" s="664" t="s">
        <v>61</v>
      </c>
      <c r="E4" s="664"/>
      <c r="F4" s="250" t="s">
        <v>74</v>
      </c>
      <c r="G4" s="250" t="s">
        <v>77</v>
      </c>
      <c r="H4" s="103" t="s">
        <v>73</v>
      </c>
      <c r="I4" s="88" t="s">
        <v>72</v>
      </c>
      <c r="J4" s="88" t="s">
        <v>71</v>
      </c>
      <c r="K4" s="103" t="s">
        <v>81</v>
      </c>
      <c r="L4" s="88" t="s">
        <v>82</v>
      </c>
      <c r="M4" s="88" t="s">
        <v>83</v>
      </c>
      <c r="N4" s="103" t="s">
        <v>81</v>
      </c>
      <c r="O4" s="88" t="s">
        <v>82</v>
      </c>
      <c r="P4" s="88" t="s">
        <v>83</v>
      </c>
      <c r="Q4" s="103" t="s">
        <v>344</v>
      </c>
      <c r="R4" s="88" t="s">
        <v>345</v>
      </c>
      <c r="S4" s="88" t="s">
        <v>346</v>
      </c>
      <c r="T4" s="88" t="s">
        <v>83</v>
      </c>
      <c r="U4" s="88" t="s">
        <v>108</v>
      </c>
      <c r="V4" s="88" t="s">
        <v>111</v>
      </c>
      <c r="W4" s="541"/>
    </row>
    <row r="5" spans="1:23" ht="45" customHeight="1">
      <c r="A5" s="660"/>
      <c r="B5" s="660"/>
      <c r="C5" s="234" t="s">
        <v>57</v>
      </c>
      <c r="D5" s="549" t="s">
        <v>60</v>
      </c>
      <c r="E5" s="549"/>
      <c r="F5" s="251" t="s">
        <v>62</v>
      </c>
      <c r="G5" s="251" t="s">
        <v>70</v>
      </c>
      <c r="H5" s="136" t="s">
        <v>75</v>
      </c>
      <c r="I5" s="245" t="s">
        <v>78</v>
      </c>
      <c r="J5" s="237" t="s">
        <v>851</v>
      </c>
      <c r="K5" s="136" t="s">
        <v>84</v>
      </c>
      <c r="L5" s="245" t="s">
        <v>80</v>
      </c>
      <c r="M5" s="237" t="s">
        <v>963</v>
      </c>
      <c r="N5" s="136" t="s">
        <v>86</v>
      </c>
      <c r="O5" s="245" t="s">
        <v>327</v>
      </c>
      <c r="P5" s="237" t="s">
        <v>964</v>
      </c>
      <c r="Q5" s="137" t="s">
        <v>440</v>
      </c>
      <c r="R5" s="237" t="s">
        <v>452</v>
      </c>
      <c r="S5" s="237" t="s">
        <v>965</v>
      </c>
      <c r="T5" s="245" t="s">
        <v>453</v>
      </c>
      <c r="U5" s="245" t="s">
        <v>454</v>
      </c>
      <c r="V5" s="245" t="s">
        <v>727</v>
      </c>
      <c r="W5" s="541"/>
    </row>
    <row r="6" spans="1:23" ht="30.75" customHeight="1">
      <c r="A6" s="550" t="s">
        <v>311</v>
      </c>
      <c r="B6" s="552"/>
      <c r="C6" s="248" t="s">
        <v>753</v>
      </c>
      <c r="D6" s="579" t="s">
        <v>514</v>
      </c>
      <c r="E6" s="580"/>
      <c r="F6" s="248" t="s">
        <v>577</v>
      </c>
      <c r="G6" s="248" t="s">
        <v>515</v>
      </c>
      <c r="H6" s="29" t="s">
        <v>445</v>
      </c>
      <c r="I6" s="236" t="s">
        <v>516</v>
      </c>
      <c r="J6" s="236" t="s">
        <v>517</v>
      </c>
      <c r="K6" s="29" t="s">
        <v>445</v>
      </c>
      <c r="L6" s="236" t="s">
        <v>516</v>
      </c>
      <c r="M6" s="236" t="s">
        <v>517</v>
      </c>
      <c r="N6" s="29" t="s">
        <v>445</v>
      </c>
      <c r="O6" s="236" t="s">
        <v>516</v>
      </c>
      <c r="P6" s="236" t="s">
        <v>517</v>
      </c>
      <c r="Q6" s="29" t="s">
        <v>479</v>
      </c>
      <c r="R6" s="236" t="s">
        <v>516</v>
      </c>
      <c r="S6" s="236" t="s">
        <v>517</v>
      </c>
      <c r="T6" s="244" t="s">
        <v>558</v>
      </c>
      <c r="U6" s="248" t="s">
        <v>577</v>
      </c>
      <c r="V6" s="244" t="s">
        <v>558</v>
      </c>
      <c r="W6" s="542"/>
    </row>
    <row r="7" spans="1:23" ht="19.7" customHeight="1">
      <c r="A7" s="570" t="s">
        <v>960</v>
      </c>
      <c r="B7" s="540" t="s">
        <v>224</v>
      </c>
      <c r="C7" s="553">
        <f>'ｼｰﾄNO.3（表-3）59頁'!$F$30</f>
        <v>9</v>
      </c>
      <c r="D7" s="138" t="s">
        <v>65</v>
      </c>
      <c r="E7" s="292">
        <f>'ｼｰﾄNO.4（表-4）60頁'!G6</f>
        <v>775.19999999999993</v>
      </c>
      <c r="F7" s="543">
        <f>'ｼｰﾄNO.4（表-4）60頁'!C6/1000</f>
        <v>1.054</v>
      </c>
      <c r="G7" s="543">
        <f>F7/('ｼｰﾄNO.4（表-4）60頁'!D6/3600)</f>
        <v>29.413953488372094</v>
      </c>
      <c r="H7" s="219">
        <f>-2.71095565/G7-0.09453616*G7+0.00089493*G7^2+3.15403637</f>
        <v>1.0554646514177595</v>
      </c>
      <c r="I7" s="620">
        <v>6000</v>
      </c>
      <c r="J7" s="99">
        <f>C7*E7*F7*H7/1000000*I7</f>
        <v>46.568454792792245</v>
      </c>
      <c r="K7" s="396">
        <f>-0.25063622/G7-0.00657231*G7+0.00005332*G7^2+0.29056757</f>
        <v>0.13486038477096629</v>
      </c>
      <c r="L7" s="620">
        <v>1364600</v>
      </c>
      <c r="M7" s="99">
        <f>C7*E7*F7*K7/1000000*L7</f>
        <v>1353.2768287020958</v>
      </c>
      <c r="N7" s="390">
        <f>0.093055673/G7-0.0002682273*G7+0.00000218*G7^2+0.0173678037</f>
        <v>1.4527929658914706E-2</v>
      </c>
      <c r="O7" s="620">
        <v>5506900</v>
      </c>
      <c r="P7" s="99">
        <f>C7*E7*F7*N7/1000000*O7</f>
        <v>588.31213009170972</v>
      </c>
      <c r="Q7" s="390">
        <f>0.0505593958/G7-0.000357176*G7+0.0000031505*G7^2+0.0131649024</f>
        <v>7.1035873572779535E-3</v>
      </c>
      <c r="R7" s="658">
        <v>11025800</v>
      </c>
      <c r="S7" s="375">
        <f t="shared" ref="S7" si="0">C7*E7*F7*Q7/1000000*R7</f>
        <v>575.94991750669715</v>
      </c>
      <c r="T7" s="616">
        <f>SUM(J7:J30)+SUM(M7:M30)+SUM(P7:P30)+SUM(S7:S30)</f>
        <v>22016.998137799314</v>
      </c>
      <c r="U7" s="616">
        <f>'ｼｰﾄNO.3（表-3）59頁'!F32</f>
        <v>11</v>
      </c>
      <c r="V7" s="616">
        <f>T7*U7</f>
        <v>242186.97951579245</v>
      </c>
      <c r="W7" s="661">
        <f>SUM(V7:V78)</f>
        <v>1521451.705210224</v>
      </c>
    </row>
    <row r="8" spans="1:23" ht="19.7" customHeight="1">
      <c r="A8" s="571"/>
      <c r="B8" s="542"/>
      <c r="C8" s="566"/>
      <c r="D8" s="139" t="s">
        <v>66</v>
      </c>
      <c r="E8" s="295">
        <f>'ｼｰﾄNO.4（表-4）60頁'!G7</f>
        <v>40.800000000000004</v>
      </c>
      <c r="F8" s="544"/>
      <c r="G8" s="544"/>
      <c r="H8" s="218">
        <f>12.28697452/G7-0.05907844*G7+0.00051753*G7^2+2.69979197</f>
        <v>1.8275444776395025</v>
      </c>
      <c r="I8" s="621"/>
      <c r="J8" s="221">
        <f>C7*E8*F7*H8/1000000*I7</f>
        <v>4.2438740767646612</v>
      </c>
      <c r="K8" s="397">
        <f>9.45345681/G7-0.14325844*G7+0.00124097*G7^2+5.98054622</f>
        <v>3.1618059863109744</v>
      </c>
      <c r="L8" s="621"/>
      <c r="M8" s="221">
        <f>C7*E8*F7*K8/1000000*L7</f>
        <v>1669.8746342249519</v>
      </c>
      <c r="N8" s="391">
        <f>0.6037810576/G7-0.0052863845*G7+0.0000423961*G7^2+0.3189943526</f>
        <v>0.22070819893257029</v>
      </c>
      <c r="O8" s="621"/>
      <c r="P8" s="221">
        <f>C7*E8*F7*N8/1000000*O7</f>
        <v>470.40176256942982</v>
      </c>
      <c r="Q8" s="392">
        <f>1.5469182952/G7-0.0051393982*G7+0.0000404677*G7^2+0.2460289003</f>
        <v>0.18246206033923956</v>
      </c>
      <c r="R8" s="659"/>
      <c r="S8" s="300">
        <f t="shared" ref="S8" si="1">C7*E8*F7*Q8/1000000*R7</f>
        <v>778.6207411091309</v>
      </c>
      <c r="T8" s="665"/>
      <c r="U8" s="665"/>
      <c r="V8" s="665"/>
      <c r="W8" s="666"/>
    </row>
    <row r="9" spans="1:23" ht="19.7" customHeight="1">
      <c r="A9" s="571"/>
      <c r="B9" s="540" t="s">
        <v>257</v>
      </c>
      <c r="C9" s="553">
        <f>'ｼｰﾄNO.3（表-3）59頁'!$F$30</f>
        <v>9</v>
      </c>
      <c r="D9" s="138" t="s">
        <v>65</v>
      </c>
      <c r="E9" s="294">
        <f>'ｼｰﾄNO.4（表-4）60頁'!G8</f>
        <v>149.15</v>
      </c>
      <c r="F9" s="543">
        <f>'ｼｰﾄNO.4（表-4）60頁'!C8/1000</f>
        <v>0.76100000000000001</v>
      </c>
      <c r="G9" s="543">
        <f>F9/('ｼｰﾄNO.4（表-4）60頁'!D8/3600)</f>
        <v>28.243298969072164</v>
      </c>
      <c r="H9" s="219">
        <f>-2.71095565/G9-0.09453616*G9+0.00089493*G9^2+3.15403637</f>
        <v>1.1019088250288087</v>
      </c>
      <c r="I9" s="620">
        <v>6000</v>
      </c>
      <c r="J9" s="99">
        <f t="shared" ref="J9" si="2">C9*E9*F9*H9/1000000*I9</f>
        <v>6.753786623292708</v>
      </c>
      <c r="K9" s="396">
        <f>-0.25063622/G9-0.00657231*G9+0.00005332*G9^2+0.29056757</f>
        <v>0.13860217767355143</v>
      </c>
      <c r="L9" s="620">
        <v>1364600</v>
      </c>
      <c r="M9" s="99">
        <f>C9*E9*F9*K9/1000000*L9</f>
        <v>193.20832910454723</v>
      </c>
      <c r="N9" s="390">
        <f>0.093055673/G9-0.0002682273*G9+0.00000218*G9^2+0.0173678037</f>
        <v>1.4825918519141416E-2</v>
      </c>
      <c r="O9" s="620">
        <v>5506900</v>
      </c>
      <c r="P9" s="99">
        <f>C9*E9*F9*N9/1000000*O9</f>
        <v>83.402529614477814</v>
      </c>
      <c r="Q9" s="390">
        <f>0.0505593958/G9-0.000357176*G9+0.0000031505*G9^2+0.0131649024</f>
        <v>7.3803148444943597E-3</v>
      </c>
      <c r="R9" s="658">
        <v>11025800</v>
      </c>
      <c r="S9" s="99">
        <f t="shared" ref="S9" si="3">C9*E9*F9*Q9/1000000*R9</f>
        <v>83.12572068316102</v>
      </c>
      <c r="T9" s="665"/>
      <c r="U9" s="665"/>
      <c r="V9" s="665"/>
      <c r="W9" s="666"/>
    </row>
    <row r="10" spans="1:23" ht="19.7" customHeight="1">
      <c r="A10" s="571"/>
      <c r="B10" s="542"/>
      <c r="C10" s="566"/>
      <c r="D10" s="139" t="s">
        <v>66</v>
      </c>
      <c r="E10" s="298">
        <f>'ｼｰﾄNO.4（表-4）60頁'!G9</f>
        <v>7.8500000000000005</v>
      </c>
      <c r="F10" s="544"/>
      <c r="G10" s="544"/>
      <c r="H10" s="218">
        <f>12.28697452/G9-0.05907844*G9+0.00051753*G9^2+2.69979197</f>
        <v>1.8790876389278492</v>
      </c>
      <c r="I10" s="621"/>
      <c r="J10" s="221">
        <f t="shared" ref="J10" si="4">C9*E10*F9*H10/1000000*I9</f>
        <v>0.60617093535769317</v>
      </c>
      <c r="K10" s="397">
        <f>9.45345681/G9-0.14325844*G9+0.00124097*G9^2+5.98054622</f>
        <v>3.2590721393592696</v>
      </c>
      <c r="L10" s="621"/>
      <c r="M10" s="221">
        <f>C9*E10*F9*K10/1000000*L9</f>
        <v>239.10913235579525</v>
      </c>
      <c r="N10" s="391">
        <f>0.6037810576/G9-0.0052863845*G9+0.0000423961*G9^2+0.3189943526</f>
        <v>0.22488595437341638</v>
      </c>
      <c r="O10" s="621"/>
      <c r="P10" s="221">
        <f>C9*E10*F9*N10/1000000*O9</f>
        <v>66.583457758339804</v>
      </c>
      <c r="Q10" s="392">
        <f>1.5469182952/G9-0.0051393982*G9+0.0000404677*G9^2+0.2460289003</f>
        <v>0.18792693637471344</v>
      </c>
      <c r="R10" s="659"/>
      <c r="S10" s="100">
        <f t="shared" ref="S10" si="5">C9*E10*F9*Q10/1000000*R9</f>
        <v>111.4027642671079</v>
      </c>
      <c r="T10" s="665"/>
      <c r="U10" s="665"/>
      <c r="V10" s="665"/>
      <c r="W10" s="666"/>
    </row>
    <row r="11" spans="1:23" ht="19.7" customHeight="1">
      <c r="A11" s="571"/>
      <c r="B11" s="540" t="s">
        <v>355</v>
      </c>
      <c r="C11" s="553">
        <f>'ｼｰﾄNO.3（表-3）59頁'!$F$30</f>
        <v>9</v>
      </c>
      <c r="D11" s="138" t="s">
        <v>65</v>
      </c>
      <c r="E11" s="292">
        <f>'ｼｰﾄNO.4（表-4）60頁'!G10</f>
        <v>38</v>
      </c>
      <c r="F11" s="543">
        <f>'ｼｰﾄNO.4（表-4）60頁'!C10/1000</f>
        <v>0.82399999999999995</v>
      </c>
      <c r="G11" s="543">
        <f>F11/('ｼｰﾄNO.4（表-4）60頁'!D10/3600)</f>
        <v>23.92258064516129</v>
      </c>
      <c r="H11" s="219">
        <f>-2.71095565/G11-0.09453616*G11+0.00089493*G11^2+3.15403637</f>
        <v>1.2913247867681457</v>
      </c>
      <c r="I11" s="620">
        <v>6000</v>
      </c>
      <c r="J11" s="99">
        <f t="shared" ref="J11" si="6">C11*E11*F11*H11/1000000*I11</f>
        <v>2.1834339330573456</v>
      </c>
      <c r="K11" s="396">
        <f>-0.25063622/G11-0.00657231*G11+0.00005332*G11^2+0.29056757</f>
        <v>0.15337847706821867</v>
      </c>
      <c r="L11" s="620">
        <v>1364600</v>
      </c>
      <c r="M11" s="99">
        <f>C11*E11*F11*K11/1000000*L11</f>
        <v>58.982490433853116</v>
      </c>
      <c r="N11" s="390">
        <f>0.093055673/G11-0.0002682273*G11+0.00000218*G11^2+0.0173678037</f>
        <v>1.608857405816946E-2</v>
      </c>
      <c r="O11" s="620">
        <v>5506900</v>
      </c>
      <c r="P11" s="99">
        <f>C11*E11*F11*N11/1000000*O11</f>
        <v>24.967672663274882</v>
      </c>
      <c r="Q11" s="390">
        <f>0.0505593958/G11-0.000357176*G11+0.0000031505*G11^2+0.0131649024</f>
        <v>8.5367890559696659E-3</v>
      </c>
      <c r="R11" s="658">
        <v>11025800</v>
      </c>
      <c r="S11" s="393">
        <f t="shared" ref="S11" si="7">C11*E11*F11*Q11/1000000*R11</f>
        <v>26.525157927749042</v>
      </c>
      <c r="T11" s="665"/>
      <c r="U11" s="665"/>
      <c r="V11" s="665"/>
      <c r="W11" s="666"/>
    </row>
    <row r="12" spans="1:23" ht="19.7" customHeight="1">
      <c r="A12" s="571"/>
      <c r="B12" s="542"/>
      <c r="C12" s="566"/>
      <c r="D12" s="139" t="s">
        <v>66</v>
      </c>
      <c r="E12" s="295">
        <f>'ｼｰﾄNO.4（表-4）60頁'!G11</f>
        <v>2</v>
      </c>
      <c r="F12" s="544"/>
      <c r="G12" s="544"/>
      <c r="H12" s="218">
        <f>12.28697452/G11-0.05907844*G11+0.00051753*G11^2+2.69979197</f>
        <v>2.0962744897164898</v>
      </c>
      <c r="I12" s="621"/>
      <c r="J12" s="221">
        <f t="shared" ref="J12" si="8">C11*E12*F11*H12/1000000*I11</f>
        <v>0.18655165938884982</v>
      </c>
      <c r="K12" s="397">
        <f>9.45345681/G11-0.14325844*G11+0.00124097*G11^2+5.98054622</f>
        <v>3.6587979611501487</v>
      </c>
      <c r="L12" s="621"/>
      <c r="M12" s="221">
        <f>C11*E12*F11*K12/1000000*L11</f>
        <v>74.053145789554421</v>
      </c>
      <c r="N12" s="391">
        <f>0.6037810576/G11-0.0052863845*G11+0.0000423961*G11^2+0.3189943526</f>
        <v>0.24203221147813736</v>
      </c>
      <c r="O12" s="621"/>
      <c r="P12" s="221">
        <f>C11*E12*F11*N12/1000000*O11</f>
        <v>19.768789453688971</v>
      </c>
      <c r="Q12" s="392">
        <f>1.5469182952/G11-0.0051393982*G11+0.0000404677*G11^2+0.2460289003</f>
        <v>0.21090400792139963</v>
      </c>
      <c r="R12" s="659"/>
      <c r="S12" s="300">
        <f t="shared" ref="S12" si="9">C11*E12*F11*Q12/1000000*R11</f>
        <v>34.490116409125839</v>
      </c>
      <c r="T12" s="665"/>
      <c r="U12" s="665"/>
      <c r="V12" s="665"/>
      <c r="W12" s="666"/>
    </row>
    <row r="13" spans="1:23" ht="19.7" customHeight="1">
      <c r="A13" s="571"/>
      <c r="B13" s="540" t="s">
        <v>356</v>
      </c>
      <c r="C13" s="553">
        <f>'ｼｰﾄNO.3（表-3）59頁'!$F$30</f>
        <v>9</v>
      </c>
      <c r="D13" s="138" t="s">
        <v>65</v>
      </c>
      <c r="E13" s="294">
        <f>'ｼｰﾄNO.4（表-4）60頁'!G12</f>
        <v>755.25</v>
      </c>
      <c r="F13" s="543">
        <f>'ｼｰﾄNO.4（表-4）60頁'!C12/1000</f>
        <v>1.054</v>
      </c>
      <c r="G13" s="543">
        <f>F13/('ｼｰﾄNO.4（表-4）60頁'!D12/3600)</f>
        <v>28.964885496183207</v>
      </c>
      <c r="H13" s="219">
        <f>-2.71095565/G13-0.09453616*G13+0.00089493*G13^2+3.15403637</f>
        <v>1.0730273446881111</v>
      </c>
      <c r="I13" s="620">
        <v>6000</v>
      </c>
      <c r="J13" s="99">
        <f t="shared" ref="J13" si="10">C13*E13*F13*H13/1000000*I13</f>
        <v>46.124948490540312</v>
      </c>
      <c r="K13" s="396">
        <f>-0.25063622/G13-0.00657231*G13+0.00005332*G13^2+0.29056757</f>
        <v>0.1362818495942732</v>
      </c>
      <c r="L13" s="620">
        <v>1364600</v>
      </c>
      <c r="M13" s="99">
        <f>C13*E13*F13*K13/1000000*L13</f>
        <v>1332.346668474162</v>
      </c>
      <c r="N13" s="390">
        <f>0.093055673/G13-0.0002682273*G13+0.00000218*G13^2+0.0173678037</f>
        <v>1.4640279878383174E-2</v>
      </c>
      <c r="O13" s="620">
        <v>5506900</v>
      </c>
      <c r="P13" s="99">
        <f>C13*E13*F13*N13/1000000*O13</f>
        <v>577.60430792790476</v>
      </c>
      <c r="Q13" s="390">
        <f>0.0505593958/G13-0.000357176*G13+0.0000031505*G13^2+0.0131649024</f>
        <v>7.2080394254288071E-3</v>
      </c>
      <c r="R13" s="658">
        <v>11025800</v>
      </c>
      <c r="S13" s="99">
        <f t="shared" ref="S13" si="11">C13*E13*F13*Q13/1000000*R13</f>
        <v>569.37857099007181</v>
      </c>
      <c r="T13" s="665"/>
      <c r="U13" s="665"/>
      <c r="V13" s="665"/>
      <c r="W13" s="666"/>
    </row>
    <row r="14" spans="1:23" ht="19.7" customHeight="1">
      <c r="A14" s="571"/>
      <c r="B14" s="542"/>
      <c r="C14" s="566"/>
      <c r="D14" s="139" t="s">
        <v>66</v>
      </c>
      <c r="E14" s="298">
        <f>'ｼｰﾄNO.4（表-4）60頁'!G13</f>
        <v>39.75</v>
      </c>
      <c r="F14" s="544"/>
      <c r="G14" s="544"/>
      <c r="H14" s="218">
        <f>12.28697452/G13-0.05907844*G13+0.00051753*G13^2+2.69979197</f>
        <v>1.8469834852183058</v>
      </c>
      <c r="I14" s="621"/>
      <c r="J14" s="221">
        <f t="shared" ref="J14" si="12">C13*E14*F13*H14/1000000*I13</f>
        <v>4.1786357537762324</v>
      </c>
      <c r="K14" s="397">
        <f>9.45345681/G13-0.14325844*G13+0.00124097*G13^2+5.98054622</f>
        <v>3.1985882591353736</v>
      </c>
      <c r="L14" s="621"/>
      <c r="M14" s="221">
        <f>C13*E14*F13*K14/1000000*L13</f>
        <v>1645.8261523402632</v>
      </c>
      <c r="N14" s="391">
        <f>0.6037810576/G13-0.0052863845*G13+0.0000423961*G13^2+0.3189943526</f>
        <v>0.22228893446679474</v>
      </c>
      <c r="O14" s="621"/>
      <c r="P14" s="221">
        <f>C13*E14*F13*N14/1000000*O13</f>
        <v>461.57819824305261</v>
      </c>
      <c r="Q14" s="392">
        <f>1.5469182952/G13-0.0051393982*G13+0.0000404677*G13^2+0.2460289003</f>
        <v>0.18452446471498832</v>
      </c>
      <c r="R14" s="659"/>
      <c r="S14" s="100">
        <f t="shared" ref="S14" si="13">C13*E14*F13*Q14/1000000*R13</f>
        <v>767.15711612580265</v>
      </c>
      <c r="T14" s="665"/>
      <c r="U14" s="665"/>
      <c r="V14" s="665"/>
      <c r="W14" s="666"/>
    </row>
    <row r="15" spans="1:23" ht="19.7" customHeight="1">
      <c r="A15" s="571"/>
      <c r="B15" s="540" t="s">
        <v>358</v>
      </c>
      <c r="C15" s="553">
        <f>'ｼｰﾄNO.3（表-3）59頁'!$F$30</f>
        <v>9</v>
      </c>
      <c r="D15" s="138" t="s">
        <v>65</v>
      </c>
      <c r="E15" s="292">
        <f>'ｼｰﾄNO.4（表-4）60頁'!G14</f>
        <v>38</v>
      </c>
      <c r="F15" s="543">
        <f>'ｼｰﾄNO.4（表-4）60頁'!C14/1000</f>
        <v>0.84799999999999998</v>
      </c>
      <c r="G15" s="543">
        <f>F15/('ｼｰﾄNO.4（表-4）60頁'!D14/3600)</f>
        <v>23.849999999999998</v>
      </c>
      <c r="H15" s="219">
        <f>-2.71095565/G15-0.09453616*G15+0.00089493*G15^2+3.15403637</f>
        <v>1.2947383703610593</v>
      </c>
      <c r="I15" s="620">
        <v>6000</v>
      </c>
      <c r="J15" s="99">
        <f t="shared" ref="J15" si="14">C15*E15*F15*H15/1000000*I15</f>
        <v>2.2529690593117979</v>
      </c>
      <c r="K15" s="396">
        <f>-0.25063622/G15-0.00657231*G15+0.00005332*G15^2+0.29056757</f>
        <v>0.15363873601551364</v>
      </c>
      <c r="L15" s="620">
        <v>1364600</v>
      </c>
      <c r="M15" s="99">
        <f>C15*E15*F15*K15/1000000*L15</f>
        <v>60.803426045069955</v>
      </c>
      <c r="N15" s="390">
        <f>0.093055673/G15-0.0002682273*G15+0.00000218*G15^2+0.0173678037</f>
        <v>1.6112321011876311E-2</v>
      </c>
      <c r="O15" s="620">
        <v>5506900</v>
      </c>
      <c r="P15" s="99">
        <f>C15*E15*F15*N15/1000000*O15</f>
        <v>25.732812431336768</v>
      </c>
      <c r="Q15" s="390">
        <f>0.0505593958/G15-0.000357176*G15+0.0000031505*G15^2+0.0131649024</f>
        <v>8.558220895474318E-3</v>
      </c>
      <c r="R15" s="658">
        <v>11025800</v>
      </c>
      <c r="S15" s="393">
        <f t="shared" ref="S15" si="15">C15*E15*F15*Q15/1000000*R15</f>
        <v>27.366267045014204</v>
      </c>
      <c r="T15" s="665"/>
      <c r="U15" s="665"/>
      <c r="V15" s="665"/>
      <c r="W15" s="666"/>
    </row>
    <row r="16" spans="1:23" ht="19.7" customHeight="1">
      <c r="A16" s="571"/>
      <c r="B16" s="542"/>
      <c r="C16" s="566"/>
      <c r="D16" s="139" t="s">
        <v>66</v>
      </c>
      <c r="E16" s="295">
        <f>'ｼｰﾄNO.4（表-4）60頁'!G15</f>
        <v>2</v>
      </c>
      <c r="F16" s="544"/>
      <c r="G16" s="544"/>
      <c r="H16" s="218">
        <f>12.28697452/G15-0.05907844*G15+0.00051753*G15^2+2.69979197</f>
        <v>2.1003310131461741</v>
      </c>
      <c r="I16" s="621"/>
      <c r="J16" s="221">
        <f t="shared" ref="J16" si="16">C15*E16*F15*H16/1000000*I15</f>
        <v>0.1923567155079792</v>
      </c>
      <c r="K16" s="397">
        <f>9.45345681/G15-0.14325844*G15+0.00124097*G15^2+5.98054622</f>
        <v>3.6660954385419817</v>
      </c>
      <c r="L16" s="621"/>
      <c r="M16" s="221">
        <f>C15*E16*F15*K16/1000000*L15</f>
        <v>76.362034544070497</v>
      </c>
      <c r="N16" s="391">
        <f>0.6037810576/G15-0.0052863845*G15+0.0000423961*G15^2+0.3189943526</f>
        <v>0.24234570548150577</v>
      </c>
      <c r="O16" s="621"/>
      <c r="P16" s="221">
        <f>C15*E16*F15*N16/1000000*O15</f>
        <v>20.370930904037813</v>
      </c>
      <c r="Q16" s="392">
        <f>1.5469182952/G15-0.0051393982*G15+0.0000404677*G15^2+0.2460289003</f>
        <v>0.21133349739165672</v>
      </c>
      <c r="R16" s="659"/>
      <c r="S16" s="300">
        <f t="shared" ref="S16" si="17">C15*E16*F15*Q16/1000000*R15</f>
        <v>35.566965044256733</v>
      </c>
      <c r="T16" s="665"/>
      <c r="U16" s="665"/>
      <c r="V16" s="665"/>
      <c r="W16" s="666"/>
    </row>
    <row r="17" spans="1:23" ht="19.7" customHeight="1">
      <c r="A17" s="571"/>
      <c r="B17" s="540" t="s">
        <v>359</v>
      </c>
      <c r="C17" s="553">
        <f>'ｼｰﾄNO.3（表-3）59頁'!$F$30</f>
        <v>9</v>
      </c>
      <c r="D17" s="138" t="s">
        <v>65</v>
      </c>
      <c r="E17" s="294">
        <f>'ｼｰﾄNO.4（表-4）60頁'!G16</f>
        <v>145.35</v>
      </c>
      <c r="F17" s="543">
        <f>'ｼｰﾄNO.4（表-4）60頁'!C16/1000</f>
        <v>0.91</v>
      </c>
      <c r="G17" s="543">
        <f>F17/('ｼｰﾄNO.4（表-4）60頁'!D16/3600)</f>
        <v>28.991150442477878</v>
      </c>
      <c r="H17" s="219">
        <f>-2.71095565/G17-0.09453616*G17+0.00089493*G17^2+3.15403637</f>
        <v>1.0719914241860904</v>
      </c>
      <c r="I17" s="620">
        <v>6000</v>
      </c>
      <c r="J17" s="99">
        <f t="shared" ref="J17" si="18">C17*E17*F17*H17/1000000*I17</f>
        <v>7.6566976752577247</v>
      </c>
      <c r="K17" s="396">
        <f>-0.25063622/G17-0.00657231*G17+0.00005332*G17^2+0.29056757</f>
        <v>0.13619823198274428</v>
      </c>
      <c r="L17" s="620">
        <v>1364600</v>
      </c>
      <c r="M17" s="99">
        <f>C17*E17*F17*K17/1000000*L17</f>
        <v>221.24617683146383</v>
      </c>
      <c r="N17" s="390">
        <f>0.093055673/G17-0.0002682273*G17+0.00000218*G17^2+0.0173678037</f>
        <v>1.4633642728096287E-2</v>
      </c>
      <c r="O17" s="620">
        <v>5506900</v>
      </c>
      <c r="P17" s="99">
        <f>C17*E17*F17*N17/1000000*O17</f>
        <v>95.930912567804128</v>
      </c>
      <c r="Q17" s="390">
        <f>0.0505593958/G17-0.000357176*G17+0.0000031505*G17^2+0.0131649024</f>
        <v>7.2018725486293969E-3</v>
      </c>
      <c r="R17" s="658">
        <v>11025800</v>
      </c>
      <c r="S17" s="99">
        <f t="shared" ref="S17" si="19">C17*E17*F17*Q17/1000000*R17</f>
        <v>94.526696320790208</v>
      </c>
      <c r="T17" s="665"/>
      <c r="U17" s="665"/>
      <c r="V17" s="665"/>
      <c r="W17" s="666"/>
    </row>
    <row r="18" spans="1:23" ht="19.7" customHeight="1">
      <c r="A18" s="571"/>
      <c r="B18" s="542"/>
      <c r="C18" s="566"/>
      <c r="D18" s="139" t="s">
        <v>66</v>
      </c>
      <c r="E18" s="298">
        <f>'ｼｰﾄNO.4（表-4）60頁'!G17</f>
        <v>7.65</v>
      </c>
      <c r="F18" s="544"/>
      <c r="G18" s="544"/>
      <c r="H18" s="218">
        <f>12.28697452/G17-0.05907844*G17+0.00051753*G17^2+2.69979197</f>
        <v>1.8458352713961288</v>
      </c>
      <c r="I18" s="621"/>
      <c r="J18" s="221">
        <f t="shared" ref="J18" si="20">C17*E18*F17*H18/1000000*I17</f>
        <v>0.69388824105850422</v>
      </c>
      <c r="K18" s="397">
        <f>9.45345681/G17-0.14325844*G17+0.00124097*G17^2+5.98054622</f>
        <v>3.1964189181306741</v>
      </c>
      <c r="L18" s="621"/>
      <c r="M18" s="221">
        <f>C17*E18*F17*K18/1000000*L17</f>
        <v>273.28411988481696</v>
      </c>
      <c r="N18" s="391">
        <f>0.6037810576/G17-0.0052863845*G17+0.0000423961*G17^2+0.3189943526</f>
        <v>0.2221957386453178</v>
      </c>
      <c r="O18" s="621"/>
      <c r="P18" s="221">
        <f>C17*E18*F17*N18/1000000*O17</f>
        <v>76.663431162586704</v>
      </c>
      <c r="Q18" s="392">
        <f>1.5469182952/G17-0.0051393982*G17+0.0000404677*G17^2+0.2460289003</f>
        <v>0.18440269458155631</v>
      </c>
      <c r="R18" s="659"/>
      <c r="S18" s="100">
        <f t="shared" ref="S18" si="21">C17*E18*F17*Q18/1000000*R17</f>
        <v>127.38629610962505</v>
      </c>
      <c r="T18" s="665"/>
      <c r="U18" s="665"/>
      <c r="V18" s="665"/>
      <c r="W18" s="666"/>
    </row>
    <row r="19" spans="1:23" ht="19.7" customHeight="1">
      <c r="A19" s="571"/>
      <c r="B19" s="540" t="s">
        <v>360</v>
      </c>
      <c r="C19" s="553">
        <f>'ｼｰﾄNO.3（表-3）59頁'!$F$30</f>
        <v>9</v>
      </c>
      <c r="D19" s="138" t="s">
        <v>65</v>
      </c>
      <c r="E19" s="292">
        <f>'ｼｰﾄNO.4（表-4）60頁'!G18</f>
        <v>44.65</v>
      </c>
      <c r="F19" s="543">
        <f>'ｼｰﾄNO.4（表-4）60頁'!C18/1000</f>
        <v>0.76100000000000001</v>
      </c>
      <c r="G19" s="543">
        <f>F19/('ｼｰﾄNO.4（表-4）60頁'!D18/3600)</f>
        <v>23.617241379310347</v>
      </c>
      <c r="H19" s="219">
        <f>-2.71095565/G19-0.09453616*G19+0.00089493*G19^2+3.15403637</f>
        <v>1.3057346844709239</v>
      </c>
      <c r="I19" s="620">
        <v>6000</v>
      </c>
      <c r="J19" s="99">
        <f t="shared" ref="J19" si="22">C19*E19*F19*H19/1000000*I19</f>
        <v>2.3958234991708895</v>
      </c>
      <c r="K19" s="396">
        <f>-0.25063622/G19-0.00657231*G19+0.00005332*G19^2+0.29056757</f>
        <v>0.15447582708241564</v>
      </c>
      <c r="L19" s="620">
        <v>1364600</v>
      </c>
      <c r="M19" s="99">
        <f>C19*E19*F19*K19/1000000*L19</f>
        <v>64.463595592144017</v>
      </c>
      <c r="N19" s="390">
        <f>0.093055673/G19-0.0002682273*G19+0.00000218*G19^2+0.0173678037</f>
        <v>1.6189120770491214E-2</v>
      </c>
      <c r="O19" s="620">
        <v>5506900</v>
      </c>
      <c r="P19" s="99">
        <f>C19*E19*F19*N19/1000000*O19</f>
        <v>27.26334143467032</v>
      </c>
      <c r="Q19" s="390">
        <f>0.0505593958/G19-0.000357176*G19+0.0000031505*G19^2+0.0131649024</f>
        <v>8.6274411590132813E-3</v>
      </c>
      <c r="R19" s="658">
        <v>11025800</v>
      </c>
      <c r="S19" s="393">
        <f t="shared" ref="S19" si="23">C19*E19*F19*Q19/1000000*R19</f>
        <v>29.089800702414411</v>
      </c>
      <c r="T19" s="665"/>
      <c r="U19" s="665"/>
      <c r="V19" s="665"/>
      <c r="W19" s="666"/>
    </row>
    <row r="20" spans="1:23" ht="19.7" customHeight="1">
      <c r="A20" s="571"/>
      <c r="B20" s="542"/>
      <c r="C20" s="566"/>
      <c r="D20" s="139" t="s">
        <v>66</v>
      </c>
      <c r="E20" s="295">
        <f>'ｼｰﾄNO.4（表-4）60頁'!G19</f>
        <v>2.35</v>
      </c>
      <c r="F20" s="544"/>
      <c r="G20" s="544"/>
      <c r="H20" s="218">
        <f>12.28697452/G19-0.05907844*G19+0.00051753*G19^2+2.69979197</f>
        <v>2.113441450076075</v>
      </c>
      <c r="I20" s="621"/>
      <c r="J20" s="221">
        <f t="shared" ref="J20" si="24">C19*E20*F19*H20/1000000*I19</f>
        <v>0.20409694293115166</v>
      </c>
      <c r="K20" s="397">
        <f>9.45345681/G19-0.14325844*G19+0.00124097*G19^2+5.98054622</f>
        <v>3.6896357499342938</v>
      </c>
      <c r="L20" s="621"/>
      <c r="M20" s="221">
        <f>C19*E20*F19*K20/1000000*L19</f>
        <v>81.037099651021293</v>
      </c>
      <c r="N20" s="391">
        <f>0.6037810576/G19-0.0052863845*G19+0.0000423961*G19^2+0.3189943526</f>
        <v>0.24335724593335084</v>
      </c>
      <c r="O20" s="621"/>
      <c r="P20" s="221">
        <f>C19*E20*F19*N20/1000000*O19</f>
        <v>21.569818985363447</v>
      </c>
      <c r="Q20" s="392">
        <f>1.5469182952/G19-0.0051393982*G19+0.0000404677*G19^2+0.2460289003</f>
        <v>0.21272186062033011</v>
      </c>
      <c r="R20" s="659"/>
      <c r="S20" s="300">
        <f t="shared" ref="S20" si="25">C19*E20*F19*Q20/1000000*R19</f>
        <v>37.750026593174418</v>
      </c>
      <c r="T20" s="665"/>
      <c r="U20" s="665"/>
      <c r="V20" s="665"/>
      <c r="W20" s="666"/>
    </row>
    <row r="21" spans="1:23" ht="19.7" customHeight="1">
      <c r="A21" s="571"/>
      <c r="B21" s="540" t="s">
        <v>232</v>
      </c>
      <c r="C21" s="553">
        <f>'ｼｰﾄNO.3（表-3）59頁'!$F$30</f>
        <v>9</v>
      </c>
      <c r="D21" s="138" t="s">
        <v>65</v>
      </c>
      <c r="E21" s="294">
        <f>'ｼｰﾄNO.4（表-4）60頁'!G20</f>
        <v>159.6</v>
      </c>
      <c r="F21" s="543">
        <f>'ｼｰﾄNO.4（表-4）60頁'!C20/1000</f>
        <v>0.84799999999999998</v>
      </c>
      <c r="G21" s="543">
        <f>F21/('ｼｰﾄNO.4（表-4）60頁'!D20/3600)</f>
        <v>29.353846153846153</v>
      </c>
      <c r="H21" s="219">
        <f>-2.71095565/G21-0.09453616*G21+0.00089493*G21^2+3.15403637</f>
        <v>1.057797013060215</v>
      </c>
      <c r="I21" s="620">
        <v>6000</v>
      </c>
      <c r="J21" s="99">
        <f t="shared" ref="J21" si="26">C21*E21*F21*H21/1000000*I21</f>
        <v>7.7308070751997162</v>
      </c>
      <c r="K21" s="396">
        <f>-0.25063622/G21-0.00657231*G21+0.00005332*G21^2+0.29056757</f>
        <v>0.13504963423886224</v>
      </c>
      <c r="L21" s="620">
        <v>1364600</v>
      </c>
      <c r="M21" s="99">
        <f>C21*E21*F21*K21/1000000*L21</f>
        <v>224.4760584174193</v>
      </c>
      <c r="N21" s="390">
        <f>0.093055673/G21-0.0002682273*G21+0.00000218*G21^2+0.0173678037</f>
        <v>1.454282967129706E-2</v>
      </c>
      <c r="O21" s="620">
        <v>5506900</v>
      </c>
      <c r="P21" s="99">
        <f>C21*E21*F21*N21/1000000*O21</f>
        <v>97.550018590208296</v>
      </c>
      <c r="Q21" s="390">
        <f>0.0505593958/G21-0.000357176*G21+0.0000031505*G21^2+0.0131649024</f>
        <v>7.1174472474651723E-3</v>
      </c>
      <c r="R21" s="658">
        <v>11025800</v>
      </c>
      <c r="S21" s="99">
        <f t="shared" ref="S21" si="27">C21*E21*F21*Q21/1000000*R21</f>
        <v>95.588493287772266</v>
      </c>
      <c r="T21" s="665"/>
      <c r="U21" s="665"/>
      <c r="V21" s="665"/>
      <c r="W21" s="666"/>
    </row>
    <row r="22" spans="1:23" ht="19.7" customHeight="1">
      <c r="A22" s="571"/>
      <c r="B22" s="542"/>
      <c r="C22" s="566"/>
      <c r="D22" s="139" t="s">
        <v>66</v>
      </c>
      <c r="E22" s="298">
        <f>'ｼｰﾄNO.4（表-4）60頁'!G21</f>
        <v>8.4</v>
      </c>
      <c r="F22" s="544"/>
      <c r="G22" s="544"/>
      <c r="H22" s="218">
        <f>12.28697452/G21-0.05907844*G21+0.00051753*G21^2+2.69979197</f>
        <v>1.8301227847474923</v>
      </c>
      <c r="I22" s="621"/>
      <c r="J22" s="221">
        <f t="shared" ref="J22" si="28">C21*E22*F21*H22/1000000*I21</f>
        <v>0.7039618534969202</v>
      </c>
      <c r="K22" s="397">
        <f>9.45345681/G21-0.14325844*G21+0.00124097*G21^2+5.98054622</f>
        <v>3.1666914087323992</v>
      </c>
      <c r="L22" s="621"/>
      <c r="M22" s="221">
        <f>C21*E22*F21*K22/1000000*L21</f>
        <v>277.03124802688239</v>
      </c>
      <c r="N22" s="391">
        <f>0.6037810576/G21-0.0052863845*G21+0.0000423961*G21^2+0.3189943526</f>
        <v>0.22091822327780172</v>
      </c>
      <c r="O22" s="621"/>
      <c r="P22" s="221">
        <f>C21*E22*F21*N22/1000000*O21</f>
        <v>77.993135393723705</v>
      </c>
      <c r="Q22" s="392">
        <f>1.5469182952/G21-0.0051393982*G21+0.0000404677*G21^2+0.2460289003</f>
        <v>0.18273571900343621</v>
      </c>
      <c r="R22" s="659"/>
      <c r="S22" s="100">
        <f t="shared" ref="S22" si="29">C21*E22*F21*Q22/1000000*R21</f>
        <v>129.16689045261356</v>
      </c>
      <c r="T22" s="665"/>
      <c r="U22" s="665"/>
      <c r="V22" s="665"/>
      <c r="W22" s="666"/>
    </row>
    <row r="23" spans="1:23" ht="19.7" customHeight="1">
      <c r="A23" s="571"/>
      <c r="B23" s="540" t="s">
        <v>233</v>
      </c>
      <c r="C23" s="553">
        <f>'ｼｰﾄNO.3（表-3）59頁'!$F$30</f>
        <v>9</v>
      </c>
      <c r="D23" s="138" t="s">
        <v>65</v>
      </c>
      <c r="E23" s="292">
        <f>'ｼｰﾄNO.4（表-4）60頁'!G22</f>
        <v>746.69999999999993</v>
      </c>
      <c r="F23" s="543">
        <f>'ｼｰﾄNO.4（表-4）60頁'!C22/1000</f>
        <v>0.61699999999999999</v>
      </c>
      <c r="G23" s="543">
        <f>F23/('ｼｰﾄNO.4（表-4）60頁'!D22/3600)</f>
        <v>26.442857142857143</v>
      </c>
      <c r="H23" s="219">
        <f>-2.71095565/G23-0.09453616*G23+0.00089493*G23^2+3.15403637</f>
        <v>1.1774660682172056</v>
      </c>
      <c r="I23" s="620">
        <v>6000</v>
      </c>
      <c r="J23" s="99">
        <f t="shared" ref="J23" si="30">C23*E23*F23*H23/1000000*I23</f>
        <v>29.293649157924794</v>
      </c>
      <c r="K23" s="396">
        <f>-0.25063622/G23-0.00657231*G23+0.00005332*G23^2+0.29056757</f>
        <v>0.14458116706475485</v>
      </c>
      <c r="L23" s="620">
        <v>1364600</v>
      </c>
      <c r="M23" s="99">
        <f>C23*E23*F23*K23/1000000*L23</f>
        <v>818.07084985072731</v>
      </c>
      <c r="N23" s="390">
        <f>0.093055673/G23-0.0002682273*G23+0.00000218*G23^2+0.0173678037</f>
        <v>1.5318540593027376E-2</v>
      </c>
      <c r="O23" s="620">
        <v>5506900</v>
      </c>
      <c r="P23" s="99">
        <f>C23*E23*F23*N23/1000000*O23</f>
        <v>349.78276520698779</v>
      </c>
      <c r="Q23" s="390">
        <f>0.0505593958/G23-0.000357176*G23+0.0000031505*G23^2+0.0131649024</f>
        <v>7.835080547802676E-3</v>
      </c>
      <c r="R23" s="658">
        <v>11025800</v>
      </c>
      <c r="S23" s="393">
        <f t="shared" ref="S23" si="31">C23*E23*F23*Q23/1000000*R23</f>
        <v>358.20150050905181</v>
      </c>
      <c r="T23" s="665"/>
      <c r="U23" s="665"/>
      <c r="V23" s="665"/>
      <c r="W23" s="666"/>
    </row>
    <row r="24" spans="1:23" ht="19.7" customHeight="1">
      <c r="A24" s="571"/>
      <c r="B24" s="542"/>
      <c r="C24" s="566"/>
      <c r="D24" s="139" t="s">
        <v>66</v>
      </c>
      <c r="E24" s="295">
        <f>'ｼｰﾄNO.4（表-4）60頁'!G23</f>
        <v>39.300000000000004</v>
      </c>
      <c r="F24" s="544"/>
      <c r="G24" s="544"/>
      <c r="H24" s="218">
        <f>12.28697452/G23-0.05907844*G23+0.00051753*G23^2+2.69979197</f>
        <v>1.9641203577708941</v>
      </c>
      <c r="I24" s="621"/>
      <c r="J24" s="221">
        <f t="shared" ref="J24" si="32">C23*E24*F23*H24/1000000*I23</f>
        <v>2.5718140897522788</v>
      </c>
      <c r="K24" s="397">
        <f>9.45345681/G23-0.14325844*G23+0.00124097*G23^2+5.98054622</f>
        <v>3.4176057447057486</v>
      </c>
      <c r="L24" s="621"/>
      <c r="M24" s="221">
        <f>C23*E24*F23*K24/1000000*L23</f>
        <v>1017.765093762891</v>
      </c>
      <c r="N24" s="391">
        <f>0.6037810576/G23-0.0052863845*G23+0.0000423961*G23^2+0.3189943526</f>
        <v>0.23168506986225051</v>
      </c>
      <c r="O24" s="621"/>
      <c r="P24" s="221">
        <f>C23*E24*F23*N24/1000000*O23</f>
        <v>278.43604875738936</v>
      </c>
      <c r="Q24" s="392">
        <f>1.5469182952/G23-0.0051393982*G23+0.0000404677*G23^2+0.2460289003</f>
        <v>0.19692496479413757</v>
      </c>
      <c r="R24" s="659"/>
      <c r="S24" s="300">
        <f t="shared" ref="S24" si="33">C23*E24*F23*Q24/1000000*R23</f>
        <v>473.83933570230317</v>
      </c>
      <c r="T24" s="665"/>
      <c r="U24" s="665"/>
      <c r="V24" s="665"/>
      <c r="W24" s="666"/>
    </row>
    <row r="25" spans="1:23" ht="19.7" customHeight="1">
      <c r="A25" s="571"/>
      <c r="B25" s="540" t="s">
        <v>255</v>
      </c>
      <c r="C25" s="553">
        <f>'ｼｰﾄNO.3（表-3）59頁'!$F$30</f>
        <v>9</v>
      </c>
      <c r="D25" s="138" t="s">
        <v>65</v>
      </c>
      <c r="E25" s="294">
        <f>'ｼｰﾄNO.4（表-4）60頁'!G24</f>
        <v>139.65</v>
      </c>
      <c r="F25" s="543">
        <f>'ｼｰﾄNO.4（表-4）60頁'!C24/1000</f>
        <v>0.82399999999999995</v>
      </c>
      <c r="G25" s="543">
        <f>F25/('ｼｰﾄNO.4（表-4）60頁'!D24/3600)</f>
        <v>26.724324324324321</v>
      </c>
      <c r="H25" s="219">
        <f>-2.71095565/G25-0.09453616*G25+0.00089493*G25^2+3.15403637</f>
        <v>1.1653294846039817</v>
      </c>
      <c r="I25" s="620">
        <v>6000</v>
      </c>
      <c r="J25" s="99">
        <f t="shared" ref="J25" si="34">C25*E25*F25*H25/1000000*I25</f>
        <v>7.2412017293100002</v>
      </c>
      <c r="K25" s="396">
        <f>-0.25063622/G25-0.00657231*G25+0.00005332*G25^2+0.29056757</f>
        <v>0.14362903046607486</v>
      </c>
      <c r="L25" s="620">
        <v>1364600</v>
      </c>
      <c r="M25" s="99">
        <f>C25*E25*F25*K25/1000000*L25</f>
        <v>202.98234103324924</v>
      </c>
      <c r="N25" s="390">
        <f>0.093055673/G25-0.0002682273*G25+0.00000218*G25^2+0.0173678037</f>
        <v>1.5238602436619324E-2</v>
      </c>
      <c r="O25" s="620">
        <v>5506900</v>
      </c>
      <c r="P25" s="99">
        <f>C25*E25*F25*N25/1000000*O25</f>
        <v>86.908647260824836</v>
      </c>
      <c r="Q25" s="390">
        <f>0.0505593958/G25-0.000357176*G25+0.0000031505*G25^2+0.0131649024</f>
        <v>7.761555964750963E-3</v>
      </c>
      <c r="R25" s="658">
        <v>11025800</v>
      </c>
      <c r="S25" s="99">
        <f t="shared" ref="S25" si="35">C25*E25*F25*Q25/1000000*R25</f>
        <v>88.627717540820939</v>
      </c>
      <c r="T25" s="665"/>
      <c r="U25" s="665"/>
      <c r="V25" s="665"/>
      <c r="W25" s="666"/>
    </row>
    <row r="26" spans="1:23" ht="19.7" customHeight="1">
      <c r="A26" s="571"/>
      <c r="B26" s="542"/>
      <c r="C26" s="566"/>
      <c r="D26" s="139" t="s">
        <v>66</v>
      </c>
      <c r="E26" s="298">
        <f>'ｼｰﾄNO.4（表-4）60頁'!G25</f>
        <v>7.3500000000000005</v>
      </c>
      <c r="F26" s="544"/>
      <c r="G26" s="544"/>
      <c r="H26" s="218">
        <f>12.28697452/G25-0.05907844*G25+0.00051753*G25^2+2.69979197</f>
        <v>1.9503425289917296</v>
      </c>
      <c r="I26" s="621"/>
      <c r="J26" s="221">
        <f t="shared" ref="J26" si="36">C25*E26*F25*H26/1000000*I25</f>
        <v>0.63785094259961761</v>
      </c>
      <c r="K26" s="397">
        <f>9.45345681/G25-0.14325844*G25+0.00124097*G25^2+5.98054622</f>
        <v>3.3920887517932119</v>
      </c>
      <c r="L26" s="621"/>
      <c r="M26" s="221">
        <f>C25*E26*F25*K26/1000000*L25</f>
        <v>252.30719414974877</v>
      </c>
      <c r="N26" s="391">
        <f>0.6037810576/G25-0.0052863845*G25+0.0000423961*G25^2+0.3189943526</f>
        <v>0.23059108868878508</v>
      </c>
      <c r="O26" s="621"/>
      <c r="P26" s="221">
        <f>C25*E26*F25*N26/1000000*O25</f>
        <v>69.216043413068633</v>
      </c>
      <c r="Q26" s="392">
        <f>1.5469182952/G25-0.0051393982*G25+0.0000404677*G25^2+0.2460289003</f>
        <v>0.19546784369724496</v>
      </c>
      <c r="R26" s="659"/>
      <c r="S26" s="100">
        <f t="shared" ref="S26" si="37">C25*E26*F25*Q26/1000000*R25</f>
        <v>117.47419907058894</v>
      </c>
      <c r="T26" s="665"/>
      <c r="U26" s="665"/>
      <c r="V26" s="665"/>
      <c r="W26" s="666"/>
    </row>
    <row r="27" spans="1:23" ht="19.7" customHeight="1">
      <c r="A27" s="571"/>
      <c r="B27" s="540" t="s">
        <v>362</v>
      </c>
      <c r="C27" s="553">
        <f>'ｼｰﾄNO.3（表-3）59頁'!$F$30</f>
        <v>9</v>
      </c>
      <c r="D27" s="138" t="s">
        <v>65</v>
      </c>
      <c r="E27" s="292">
        <f>'ｼｰﾄNO.4（表-4）60頁'!G26</f>
        <v>41.8</v>
      </c>
      <c r="F27" s="543">
        <f>'ｼｰﾄNO.4（表-4）60頁'!C26/1000</f>
        <v>0.91</v>
      </c>
      <c r="G27" s="543">
        <f>F27/('ｼｰﾄNO.4（表-4）60頁'!D26/3600)</f>
        <v>24.266666666666669</v>
      </c>
      <c r="H27" s="219">
        <f>-2.71095565/G27-0.09453616*G27+0.00089493*G27^2+3.15403637</f>
        <v>1.2752421054428575</v>
      </c>
      <c r="I27" s="620">
        <v>6000</v>
      </c>
      <c r="J27" s="99">
        <f t="shared" ref="J27" si="38">C27*E27*F27*H27/1000000*I27</f>
        <v>2.6194135971691122</v>
      </c>
      <c r="K27" s="396">
        <f>-0.25063622/G27-0.00657231*G27+0.00005332*G27^2+0.29056757</f>
        <v>0.15214970598510377</v>
      </c>
      <c r="L27" s="620">
        <v>1364600</v>
      </c>
      <c r="M27" s="99">
        <f>C27*E27*F27*K27/1000000*L27</f>
        <v>71.078240398412476</v>
      </c>
      <c r="N27" s="390">
        <f>0.093055673/G27-0.0002682273*G27+0.00000218*G27^2+0.0173678037</f>
        <v>1.597727204167277E-2</v>
      </c>
      <c r="O27" s="620">
        <v>5506900</v>
      </c>
      <c r="P27" s="99">
        <f>C27*E27*F27*N27/1000000*O27</f>
        <v>30.12104282882737</v>
      </c>
      <c r="Q27" s="390">
        <f>0.0505593958/G27-0.000357176*G27+0.0000031505*G27^2+0.0131649024</f>
        <v>8.4361614873870554E-3</v>
      </c>
      <c r="R27" s="658">
        <v>11025800</v>
      </c>
      <c r="S27" s="393">
        <f t="shared" ref="S27" si="39">C27*E27*F27*Q27/1000000*R27</f>
        <v>31.843088106880259</v>
      </c>
      <c r="T27" s="665"/>
      <c r="U27" s="665"/>
      <c r="V27" s="665"/>
      <c r="W27" s="666"/>
    </row>
    <row r="28" spans="1:23" ht="19.7" customHeight="1">
      <c r="A28" s="571"/>
      <c r="B28" s="542"/>
      <c r="C28" s="566"/>
      <c r="D28" s="139" t="s">
        <v>66</v>
      </c>
      <c r="E28" s="295">
        <f>'ｼｰﾄNO.4（表-4）60頁'!G27</f>
        <v>2.2000000000000002</v>
      </c>
      <c r="F28" s="544"/>
      <c r="G28" s="544"/>
      <c r="H28" s="218">
        <f>12.28697452/G27-0.05907844*G27+0.00051753*G27^2+2.69979197</f>
        <v>2.0772449930490842</v>
      </c>
      <c r="I28" s="621"/>
      <c r="J28" s="221">
        <f t="shared" ref="J28" si="40">C27*E28*F27*H28/1000000*I27</f>
        <v>0.22456680170855037</v>
      </c>
      <c r="K28" s="397">
        <f>9.45345681/G27-0.14325844*G27+0.00124097*G27^2+5.98054622</f>
        <v>3.6244783199735044</v>
      </c>
      <c r="L28" s="621"/>
      <c r="M28" s="221">
        <f>C27*E28*F27*K28/1000000*L27</f>
        <v>89.116363413923054</v>
      </c>
      <c r="N28" s="391">
        <f>0.6037810576/G27-0.0052863845*G27+0.0000423961*G27^2+0.3189943526</f>
        <v>0.24055834811890595</v>
      </c>
      <c r="O28" s="621"/>
      <c r="P28" s="221">
        <f>C27*E28*F27*N28/1000000*O27</f>
        <v>23.868998964418662</v>
      </c>
      <c r="Q28" s="392">
        <f>1.5469182952/G27-0.0051393982*G27+0.0000404677*G27^2+0.2460289003</f>
        <v>0.20888972982040047</v>
      </c>
      <c r="R28" s="659"/>
      <c r="S28" s="300">
        <f t="shared" ref="S28" si="41">C27*E28*F27*Q28/1000000*R27</f>
        <v>41.498632069862857</v>
      </c>
      <c r="T28" s="665"/>
      <c r="U28" s="665"/>
      <c r="V28" s="665"/>
      <c r="W28" s="666"/>
    </row>
    <row r="29" spans="1:23" ht="19.7" customHeight="1">
      <c r="A29" s="571"/>
      <c r="B29" s="540" t="s">
        <v>236</v>
      </c>
      <c r="C29" s="553">
        <f>'ｼｰﾄNO.3（表-3）59頁'!$F$30</f>
        <v>9</v>
      </c>
      <c r="D29" s="138" t="s">
        <v>65</v>
      </c>
      <c r="E29" s="294">
        <f>'ｼｰﾄNO.4（表-4）60頁'!G28</f>
        <v>748.59999999999991</v>
      </c>
      <c r="F29" s="543">
        <f>'ｼｰﾄNO.4（表-4）60頁'!C28/1000</f>
        <v>0.61699999999999999</v>
      </c>
      <c r="G29" s="543">
        <f>F29/('ｼｰﾄNO.4（表-4）60頁'!D28/3600)</f>
        <v>26.442857142857143</v>
      </c>
      <c r="H29" s="219">
        <f>-2.71095565/G29-0.09453616*G29+0.00089493*G29^2+3.15403637</f>
        <v>1.1774660682172056</v>
      </c>
      <c r="I29" s="620">
        <v>6000</v>
      </c>
      <c r="J29" s="99">
        <f t="shared" ref="J29" si="42">C29*E29*F29*H29/1000000*I29</f>
        <v>29.368187705400437</v>
      </c>
      <c r="K29" s="396">
        <f>-0.25063622/G29-0.00657231*G29+0.00005332*G29^2+0.29056757</f>
        <v>0.14458116706475485</v>
      </c>
      <c r="L29" s="620">
        <v>1364600</v>
      </c>
      <c r="M29" s="99">
        <f>C29*E29*F29*K29/1000000*L29</f>
        <v>820.15245506663257</v>
      </c>
      <c r="N29" s="390">
        <f>0.093055673/G29-0.0002682273*G29+0.00000218*G29^2+0.0173678037</f>
        <v>1.5318540593027376E-2</v>
      </c>
      <c r="O29" s="620">
        <v>5506900</v>
      </c>
      <c r="P29" s="99">
        <f>C29*E29*F29*N29/1000000*O29</f>
        <v>350.67279768843053</v>
      </c>
      <c r="Q29" s="390">
        <f>0.0505593958/G29-0.000357176*G29+0.0000031505*G29^2+0.0131649024</f>
        <v>7.835080547802676E-3</v>
      </c>
      <c r="R29" s="658">
        <v>11025800</v>
      </c>
      <c r="S29" s="99">
        <f t="shared" ref="S29" si="43">C29*E29*F29*Q29/1000000*R29</f>
        <v>359.1129547088205</v>
      </c>
      <c r="T29" s="665"/>
      <c r="U29" s="665"/>
      <c r="V29" s="665"/>
      <c r="W29" s="666"/>
    </row>
    <row r="30" spans="1:23" ht="19.7" customHeight="1">
      <c r="A30" s="572"/>
      <c r="B30" s="542"/>
      <c r="C30" s="566"/>
      <c r="D30" s="139" t="s">
        <v>66</v>
      </c>
      <c r="E30" s="297">
        <f>'ｼｰﾄNO.4（表-4）60頁'!G29</f>
        <v>39.400000000000006</v>
      </c>
      <c r="F30" s="544"/>
      <c r="G30" s="544"/>
      <c r="H30" s="218">
        <f>12.28697452/G29-0.05907844*G29+0.00051753*G29^2+2.69979197</f>
        <v>1.9641203577708941</v>
      </c>
      <c r="I30" s="621"/>
      <c r="J30" s="221">
        <f t="shared" ref="J30" si="44">C29*E30*F29*H30/1000000*I29</f>
        <v>2.5783581459603</v>
      </c>
      <c r="K30" s="397">
        <f>9.45345681/G29-0.14325844*G29+0.00124097*G29^2+5.98054622</f>
        <v>3.4176057447057486</v>
      </c>
      <c r="L30" s="621"/>
      <c r="M30" s="221">
        <f>C29*E30*F29*K30/1000000*L29</f>
        <v>1020.354826825901</v>
      </c>
      <c r="N30" s="391">
        <f>0.6037810576/G29-0.0052863845*G29+0.0000423961*G29^2+0.3189943526</f>
        <v>0.23168506986225051</v>
      </c>
      <c r="O30" s="621"/>
      <c r="P30" s="221">
        <f>C29*E30*F29*N30/1000000*O29</f>
        <v>279.14453743107231</v>
      </c>
      <c r="Q30" s="392">
        <f>1.5469182952/G29-0.0051393982*G29+0.0000404677*G29^2+0.2460289003</f>
        <v>0.19692496479413757</v>
      </c>
      <c r="R30" s="659"/>
      <c r="S30" s="100">
        <f t="shared" ref="S30" si="45">C29*E30*F29*Q30/1000000*R29</f>
        <v>475.04503375752523</v>
      </c>
      <c r="T30" s="617"/>
      <c r="U30" s="617"/>
      <c r="V30" s="617"/>
      <c r="W30" s="666"/>
    </row>
    <row r="31" spans="1:23" ht="19.7" customHeight="1">
      <c r="A31" s="570" t="s">
        <v>966</v>
      </c>
      <c r="B31" s="540" t="s">
        <v>224</v>
      </c>
      <c r="C31" s="553">
        <f>'ｼｰﾄNO.3（表-3）59頁'!$F$30</f>
        <v>9</v>
      </c>
      <c r="D31" s="138" t="s">
        <v>65</v>
      </c>
      <c r="E31" s="294">
        <f>'ｼｰﾄNO.4（表-4）60頁'!G33</f>
        <v>772.34999999999991</v>
      </c>
      <c r="F31" s="543">
        <f>'ｼｰﾄNO.4（表-4）60頁'!C33/1000</f>
        <v>1.054</v>
      </c>
      <c r="G31" s="543">
        <f>F31/('ｼｰﾄNO.4（表-4）60頁'!D33/3600)</f>
        <v>29.413953488372094</v>
      </c>
      <c r="H31" s="219">
        <f>-2.71095565/G31-0.09453616*G31+0.00089493*G31^2+3.15403637</f>
        <v>1.0554646514177595</v>
      </c>
      <c r="I31" s="620">
        <v>6000</v>
      </c>
      <c r="J31" s="99">
        <f>C31*E31*F31*H31/1000000*I31</f>
        <v>46.397247238406976</v>
      </c>
      <c r="K31" s="396">
        <f>-0.25063622/G31-0.00657231*G31+0.00005332*G31^2+0.29056757</f>
        <v>0.13486038477096629</v>
      </c>
      <c r="L31" s="620">
        <v>1364600</v>
      </c>
      <c r="M31" s="99">
        <f>C31*E31*F31*K31/1000000*L31</f>
        <v>1348.3015462436324</v>
      </c>
      <c r="N31" s="390">
        <f>0.093055673/G31-0.0002682273*G31+0.00000218*G31^2+0.0173678037</f>
        <v>1.4527929658914706E-2</v>
      </c>
      <c r="O31" s="620">
        <v>5506900</v>
      </c>
      <c r="P31" s="99">
        <f>C31*E31*F31*N31/1000000*O31</f>
        <v>586.14921784872558</v>
      </c>
      <c r="Q31" s="390">
        <f>0.0505593958/G31-0.000357176*G31+0.0000031505*G31^2+0.0131649024</f>
        <v>7.1035873572779535E-3</v>
      </c>
      <c r="R31" s="658">
        <v>11025800</v>
      </c>
      <c r="S31" s="375">
        <f t="shared" ref="S31" si="46">C31*E31*F31*Q31/1000000*R31</f>
        <v>573.83245457468729</v>
      </c>
      <c r="T31" s="616">
        <f>SUM(J31:J54)+SUM(M31:M54)+SUM(P31:P54)+SUM(S31:S54)</f>
        <v>24615.01558078469</v>
      </c>
      <c r="U31" s="616">
        <f>'ｼｰﾄNO.3（表-3）59頁'!$F$33</f>
        <v>18</v>
      </c>
      <c r="V31" s="616">
        <f>T31*U31</f>
        <v>443070.28045412444</v>
      </c>
      <c r="W31" s="666"/>
    </row>
    <row r="32" spans="1:23" ht="19.7" customHeight="1">
      <c r="A32" s="571"/>
      <c r="B32" s="542"/>
      <c r="C32" s="566"/>
      <c r="D32" s="139" t="s">
        <v>66</v>
      </c>
      <c r="E32" s="297">
        <f>'ｼｰﾄNO.4（表-4）60頁'!G34</f>
        <v>40.650000000000006</v>
      </c>
      <c r="F32" s="544"/>
      <c r="G32" s="544"/>
      <c r="H32" s="218">
        <f>12.28697452/G31-0.05907844*G31+0.00051753*G31^2+2.69979197</f>
        <v>1.8275444776395025</v>
      </c>
      <c r="I32" s="621"/>
      <c r="J32" s="221">
        <f>C31*E32*F31*H32/1000000*I31</f>
        <v>4.2282715985412613</v>
      </c>
      <c r="K32" s="397">
        <f>9.45345681/G31-0.14325844*G31+0.00124097*G31^2+5.98054622</f>
        <v>3.1618059863109744</v>
      </c>
      <c r="L32" s="621"/>
      <c r="M32" s="221">
        <f>C31*E32*F31*K32/1000000*L31</f>
        <v>1663.7353892461838</v>
      </c>
      <c r="N32" s="391">
        <f>0.6037810576/G31-0.0052863845*G31+0.0000423961*G31^2+0.3189943526</f>
        <v>0.22070819893257029</v>
      </c>
      <c r="O32" s="621"/>
      <c r="P32" s="398">
        <f>C31*E32*F31*N32/1000000*O31</f>
        <v>468.67234432468922</v>
      </c>
      <c r="Q32" s="392">
        <f>1.5469182952/G31-0.0051393982*G31+0.0000404677*G31^2+0.2460289003</f>
        <v>0.18246206033923956</v>
      </c>
      <c r="R32" s="659"/>
      <c r="S32" s="300">
        <f t="shared" ref="S32" si="47">C31*E32*F31*Q32/1000000*R31</f>
        <v>775.75816485505311</v>
      </c>
      <c r="T32" s="665"/>
      <c r="U32" s="665"/>
      <c r="V32" s="665"/>
      <c r="W32" s="666"/>
    </row>
    <row r="33" spans="1:23" ht="19.7" customHeight="1">
      <c r="A33" s="571"/>
      <c r="B33" s="540" t="s">
        <v>257</v>
      </c>
      <c r="C33" s="553">
        <f>'ｼｰﾄNO.3（表-3）59頁'!$F$30</f>
        <v>9</v>
      </c>
      <c r="D33" s="138" t="s">
        <v>65</v>
      </c>
      <c r="E33" s="294">
        <f>'ｼｰﾄNO.4（表-4）60頁'!G35</f>
        <v>152</v>
      </c>
      <c r="F33" s="543">
        <f>'ｼｰﾄNO.4（表-4）60頁'!C35/1000</f>
        <v>0.76100000000000001</v>
      </c>
      <c r="G33" s="543">
        <f>F33/('ｼｰﾄNO.4（表-4）60頁'!D35/3600)</f>
        <v>26.598058252427183</v>
      </c>
      <c r="H33" s="219">
        <f>-2.71095565/G33-0.09453616*G33+0.00089493*G33^2+3.15403637</f>
        <v>1.1707592402727975</v>
      </c>
      <c r="I33" s="620">
        <v>6000</v>
      </c>
      <c r="J33" s="99">
        <f t="shared" ref="J33" si="48">C33*E33*F33*H33/1000000*I33</f>
        <v>7.3128993934050914</v>
      </c>
      <c r="K33" s="396">
        <f>-0.25063622/G33-0.00657231*G33+0.00005332*G33^2+0.29056757</f>
        <v>0.1440553750066611</v>
      </c>
      <c r="L33" s="620">
        <v>1364600</v>
      </c>
      <c r="M33" s="99">
        <f>C33*E33*F33*K33/1000000*L33</f>
        <v>204.64709703049462</v>
      </c>
      <c r="N33" s="390">
        <f>0.093055673/G33-0.0002682273*G33+0.00000218*G33^2+0.0173678037</f>
        <v>1.52743229233389E-2</v>
      </c>
      <c r="O33" s="620">
        <v>5506900</v>
      </c>
      <c r="P33" s="399">
        <f>C33*E33*F33*N33/1000000*O33</f>
        <v>87.566887311810433</v>
      </c>
      <c r="Q33" s="390">
        <f>0.0505593958/G33-0.000357176*G33+0.0000031505*G33^2+0.0131649024</f>
        <v>7.7944246128264739E-3</v>
      </c>
      <c r="R33" s="658">
        <v>11025800</v>
      </c>
      <c r="S33" s="99">
        <f t="shared" ref="S33" si="49">C33*E33*F33*Q33/1000000*R33</f>
        <v>89.467422447653334</v>
      </c>
      <c r="T33" s="665"/>
      <c r="U33" s="665"/>
      <c r="V33" s="665"/>
      <c r="W33" s="666"/>
    </row>
    <row r="34" spans="1:23" ht="19.7" customHeight="1">
      <c r="A34" s="571"/>
      <c r="B34" s="542"/>
      <c r="C34" s="566"/>
      <c r="D34" s="139" t="s">
        <v>66</v>
      </c>
      <c r="E34" s="297">
        <f>'ｼｰﾄNO.4（表-4）60頁'!G36</f>
        <v>8</v>
      </c>
      <c r="F34" s="544"/>
      <c r="G34" s="544"/>
      <c r="H34" s="218">
        <f>12.28697452/G33-0.05907844*G33+0.00051753*G33^2+2.69979197</f>
        <v>1.956500305599318</v>
      </c>
      <c r="I34" s="621"/>
      <c r="J34" s="221">
        <f t="shared" ref="J34" si="50">C33*E34*F33*H34/1000000*I33</f>
        <v>0.64320338846638703</v>
      </c>
      <c r="K34" s="397">
        <f>9.45345681/G33-0.14325844*G33+0.00124097*G33^2+5.98054622</f>
        <v>3.4035014902498837</v>
      </c>
      <c r="L34" s="621"/>
      <c r="M34" s="221">
        <f>C33*E34*F33*K34/1000000*L33</f>
        <v>254.47695837593676</v>
      </c>
      <c r="N34" s="391">
        <f>0.6037810576/G33-0.0052863845*G33+0.0000423961*G33^2+0.3189943526</f>
        <v>0.23108038791118332</v>
      </c>
      <c r="O34" s="621"/>
      <c r="P34" s="221">
        <f>C33*E34*F33*N34/1000000*O33</f>
        <v>69.724824740002134</v>
      </c>
      <c r="Q34" s="392">
        <f>1.5469182952/G33-0.0051393982*G33+0.0000404677*G33^2+0.2460289003</f>
        <v>0.19611910183106107</v>
      </c>
      <c r="R34" s="659"/>
      <c r="S34" s="100">
        <f t="shared" ref="S34" si="51">C33*E34*F33*Q34/1000000*R33</f>
        <v>118.4805766547527</v>
      </c>
      <c r="T34" s="665"/>
      <c r="U34" s="665"/>
      <c r="V34" s="665"/>
      <c r="W34" s="666"/>
    </row>
    <row r="35" spans="1:23" ht="19.7" customHeight="1">
      <c r="A35" s="571"/>
      <c r="B35" s="540" t="s">
        <v>355</v>
      </c>
      <c r="C35" s="553">
        <f>'ｼｰﾄNO.3（表-3）59頁'!$F$30</f>
        <v>9</v>
      </c>
      <c r="D35" s="138" t="s">
        <v>65</v>
      </c>
      <c r="E35" s="294">
        <f>'ｼｰﾄNO.4（表-4）60頁'!G37</f>
        <v>38</v>
      </c>
      <c r="F35" s="543">
        <f>'ｼｰﾄNO.4（表-4）60頁'!C37/1000</f>
        <v>0.82399999999999995</v>
      </c>
      <c r="G35" s="543">
        <f>F35/('ｼｰﾄNO.4（表-4）60頁'!D37/3600)</f>
        <v>20.179591836734694</v>
      </c>
      <c r="H35" s="219">
        <f>-2.71095565/G35-0.09453616*G35+0.00089493*G35^2+3.15403637</f>
        <v>1.4764235455645425</v>
      </c>
      <c r="I35" s="620">
        <v>6000</v>
      </c>
      <c r="J35" s="99">
        <f t="shared" ref="J35" si="52">C35*E35*F35*H35/1000000*I35</f>
        <v>2.4964077991707154</v>
      </c>
      <c r="K35" s="396">
        <f>-0.25063622/G35-0.00657231*G35+0.00005332*G35^2+0.29056757</f>
        <v>0.16723350804930318</v>
      </c>
      <c r="L35" s="620">
        <v>1364600</v>
      </c>
      <c r="M35" s="99">
        <f>C35*E35*F35*K35/1000000*L35</f>
        <v>64.310514599454166</v>
      </c>
      <c r="N35" s="390">
        <f>0.093055673/G35-0.0002682273*G35+0.00000218*G35^2+0.0173678037</f>
        <v>1.7454192368000755E-2</v>
      </c>
      <c r="O35" s="620">
        <v>5506900</v>
      </c>
      <c r="P35" s="99">
        <f>C35*E35*F35*N35/1000000*O35</f>
        <v>27.086959979824169</v>
      </c>
      <c r="Q35" s="390">
        <f>0.0505593958/G35-0.000357176*G35+0.0000031505*G35^2+0.0131649024</f>
        <v>9.7456419601642079E-3</v>
      </c>
      <c r="R35" s="658">
        <v>11025800</v>
      </c>
      <c r="S35" s="393">
        <f t="shared" ref="S35" si="53">C35*E35*F35*Q35/1000000*R35</f>
        <v>30.281255681242861</v>
      </c>
      <c r="T35" s="665"/>
      <c r="U35" s="665"/>
      <c r="V35" s="665"/>
      <c r="W35" s="666"/>
    </row>
    <row r="36" spans="1:23" ht="19.7" customHeight="1">
      <c r="A36" s="571"/>
      <c r="B36" s="542"/>
      <c r="C36" s="566"/>
      <c r="D36" s="139" t="s">
        <v>66</v>
      </c>
      <c r="E36" s="297">
        <f>'ｼｰﾄNO.4（表-4）60頁'!G38</f>
        <v>2</v>
      </c>
      <c r="F36" s="544"/>
      <c r="G36" s="544"/>
      <c r="H36" s="218">
        <f>12.28697452/G35-0.05907844*G35+0.00051753*G35^2+2.69979197</f>
        <v>2.3272408441495442</v>
      </c>
      <c r="I36" s="621"/>
      <c r="J36" s="221">
        <f t="shared" ref="J36" si="54">C35*E36*F35*H36/1000000*I35</f>
        <v>0.20710581720255625</v>
      </c>
      <c r="K36" s="397">
        <f>9.45345681/G35-0.14325844*G35+0.00124097*G35^2+5.98054622</f>
        <v>4.063458327374196</v>
      </c>
      <c r="L36" s="621"/>
      <c r="M36" s="221">
        <f>C35*E36*F35*K36/1000000*L35</f>
        <v>82.243369303788555</v>
      </c>
      <c r="N36" s="391">
        <f>0.6037810576/G35-0.0052863845*G35+0.0000423961*G35^2+0.3189943526</f>
        <v>0.25950201832709474</v>
      </c>
      <c r="O36" s="621"/>
      <c r="P36" s="221">
        <f>C35*E36*F35*N36/1000000*O35</f>
        <v>21.195694291208287</v>
      </c>
      <c r="Q36" s="392">
        <f>1.5469182952/G35-0.0051393982*G35+0.0000404677*G35^2+0.2460289003</f>
        <v>0.23545459544403208</v>
      </c>
      <c r="R36" s="659"/>
      <c r="S36" s="300">
        <f t="shared" ref="S36" si="55">C35*E36*F35*Q36/1000000*R35</f>
        <v>38.504988529923068</v>
      </c>
      <c r="T36" s="665"/>
      <c r="U36" s="665"/>
      <c r="V36" s="665"/>
      <c r="W36" s="666"/>
    </row>
    <row r="37" spans="1:23" ht="19.7" customHeight="1">
      <c r="A37" s="571"/>
      <c r="B37" s="540" t="s">
        <v>356</v>
      </c>
      <c r="C37" s="553">
        <f>'ｼｰﾄNO.3（表-3）59頁'!$F$30</f>
        <v>9</v>
      </c>
      <c r="D37" s="138" t="s">
        <v>65</v>
      </c>
      <c r="E37" s="294">
        <f>'ｼｰﾄNO.4（表-4）60頁'!G39</f>
        <v>745.75</v>
      </c>
      <c r="F37" s="543">
        <f>'ｼｰﾄNO.4（表-4）60頁'!C39/1000</f>
        <v>1.054</v>
      </c>
      <c r="G37" s="543">
        <f>F37/('ｼｰﾄNO.4（表-4）60頁'!D39/3600)</f>
        <v>20.400000000000002</v>
      </c>
      <c r="H37" s="219">
        <f>-2.71095565/G37-0.09453616*G37+0.00089493*G37^2+3.15403637</f>
        <v>1.4650427919568627</v>
      </c>
      <c r="I37" s="620">
        <v>6000</v>
      </c>
      <c r="J37" s="99">
        <f t="shared" ref="J37" si="56">C37*E37*F37*H37/1000000*I37</f>
        <v>62.183898064187773</v>
      </c>
      <c r="K37" s="396">
        <f>-0.25063622/G37-0.00657231*G37+0.00005332*G37^2+0.29056757</f>
        <v>0.1663960079843137</v>
      </c>
      <c r="L37" s="620">
        <v>1364600</v>
      </c>
      <c r="M37" s="99">
        <f>C37*E37*F37*K37/1000000*L37</f>
        <v>1606.2925762190359</v>
      </c>
      <c r="N37" s="390">
        <f>0.093055673/G37-0.0002682273*G37+0.00000218*G37^2+0.0173678037</f>
        <v>1.7364748178039215E-2</v>
      </c>
      <c r="O37" s="620">
        <v>5506900</v>
      </c>
      <c r="P37" s="99">
        <f>C37*E37*F37*N37/1000000*O37</f>
        <v>676.47548412479705</v>
      </c>
      <c r="Q37" s="390">
        <f>0.0505593958/G37-0.000357176*G37+0.0000031505*G37^2+0.0131649024</f>
        <v>9.6680258349019586E-3</v>
      </c>
      <c r="R37" s="658">
        <v>11025800</v>
      </c>
      <c r="S37" s="99">
        <f t="shared" ref="S37" si="57">C37*E37*F37*Q37/1000000*R37</f>
        <v>754.09193325697004</v>
      </c>
      <c r="T37" s="665"/>
      <c r="U37" s="665"/>
      <c r="V37" s="665"/>
      <c r="W37" s="666"/>
    </row>
    <row r="38" spans="1:23" ht="19.7" customHeight="1">
      <c r="A38" s="571"/>
      <c r="B38" s="542"/>
      <c r="C38" s="566"/>
      <c r="D38" s="139" t="s">
        <v>66</v>
      </c>
      <c r="E38" s="297">
        <f>'ｼｰﾄNO.4（表-4）60頁'!G40</f>
        <v>39.25</v>
      </c>
      <c r="F38" s="544"/>
      <c r="G38" s="544"/>
      <c r="H38" s="218">
        <f>12.28697452/G37-0.05907844*G37+0.00051753*G37^2+2.69979197</f>
        <v>2.3122697513490196</v>
      </c>
      <c r="I38" s="621"/>
      <c r="J38" s="221">
        <f t="shared" ref="J38" si="58">C37*E38*F37*H38/1000000*I37</f>
        <v>5.1655019478353976</v>
      </c>
      <c r="K38" s="397">
        <f>9.45345681/G37-0.14325844*G37+0.00124097*G37^2+5.98054622</f>
        <v>4.0379208647882354</v>
      </c>
      <c r="L38" s="621"/>
      <c r="M38" s="221">
        <f>C37*E38*F37*K38/1000000*L37</f>
        <v>2051.5681668848251</v>
      </c>
      <c r="N38" s="391">
        <f>0.6037810576/G37-0.0052863845*G37+0.0000423961*G37^2+0.3189943526</f>
        <v>0.25839278044266667</v>
      </c>
      <c r="O38" s="621"/>
      <c r="P38" s="221">
        <f>C37*E38*F37*N38/1000000*O37</f>
        <v>529.7980393869891</v>
      </c>
      <c r="Q38" s="392">
        <f>1.5469182952/G37-0.0051393982*G37+0.0000404677*G37^2+0.2460289003</f>
        <v>0.23385554324807839</v>
      </c>
      <c r="R38" s="659"/>
      <c r="S38" s="100">
        <f t="shared" ref="S38" si="59">C37*E38*F37*Q38/1000000*R37</f>
        <v>960.02061860108097</v>
      </c>
      <c r="T38" s="665"/>
      <c r="U38" s="665"/>
      <c r="V38" s="665"/>
      <c r="W38" s="666"/>
    </row>
    <row r="39" spans="1:23" ht="19.7" customHeight="1">
      <c r="A39" s="571"/>
      <c r="B39" s="540" t="s">
        <v>358</v>
      </c>
      <c r="C39" s="553">
        <f>'ｼｰﾄNO.3（表-3）59頁'!$F$30</f>
        <v>9</v>
      </c>
      <c r="D39" s="138" t="s">
        <v>65</v>
      </c>
      <c r="E39" s="294">
        <f>'ｼｰﾄNO.4（表-4）60頁'!G41</f>
        <v>143.44999999999999</v>
      </c>
      <c r="F39" s="543">
        <f>'ｼｰﾄNO.4（表-4）60頁'!C41/1000</f>
        <v>0.84799999999999998</v>
      </c>
      <c r="G39" s="543">
        <f>F39/('ｼｰﾄNO.4（表-4）60頁'!D41/3600)</f>
        <v>19.952941176470585</v>
      </c>
      <c r="H39" s="219">
        <f>-2.71095565/G39-0.09453616*G39+0.00089493*G39^2+3.15403637</f>
        <v>1.488183867538571</v>
      </c>
      <c r="I39" s="620">
        <v>6000</v>
      </c>
      <c r="J39" s="99">
        <f t="shared" ref="J39" si="60">C39*E39*F39*H39/1000000*I39</f>
        <v>9.7756750517606985</v>
      </c>
      <c r="K39" s="396">
        <f>-0.25063622/G39-0.00657231*G39+0.00005332*G39^2+0.29056757</f>
        <v>0.16809703903852097</v>
      </c>
      <c r="L39" s="620">
        <v>1364600</v>
      </c>
      <c r="M39" s="99">
        <f>C39*E39*F39*K39/1000000*L39</f>
        <v>251.13332388419053</v>
      </c>
      <c r="N39" s="390">
        <f>0.093055673/G39-0.0002682273*G39+0.00000218*G39^2+0.0173678037</f>
        <v>1.7547538655790708E-2</v>
      </c>
      <c r="O39" s="620">
        <v>5506900</v>
      </c>
      <c r="P39" s="99">
        <f>C39*E39*F39*N39/1000000*O39</f>
        <v>105.79431045311111</v>
      </c>
      <c r="Q39" s="390">
        <f>0.0505593958/G39-0.000357176*G39+0.0000031505*G39^2+0.0131649024</f>
        <v>9.8263992891985206E-3</v>
      </c>
      <c r="R39" s="658">
        <v>11025800</v>
      </c>
      <c r="S39" s="393">
        <f t="shared" ref="S39" si="61">C39*E39*F39*Q39/1000000*R39</f>
        <v>118.6160430387569</v>
      </c>
      <c r="T39" s="665"/>
      <c r="U39" s="665"/>
      <c r="V39" s="665"/>
      <c r="W39" s="666"/>
    </row>
    <row r="40" spans="1:23" ht="19.7" customHeight="1">
      <c r="A40" s="571"/>
      <c r="B40" s="542"/>
      <c r="C40" s="566"/>
      <c r="D40" s="139" t="s">
        <v>66</v>
      </c>
      <c r="E40" s="297">
        <f>'ｼｰﾄNO.4（表-4）60頁'!G42</f>
        <v>7.5500000000000007</v>
      </c>
      <c r="F40" s="544"/>
      <c r="G40" s="544"/>
      <c r="H40" s="218">
        <f>12.28697452/G39-0.05907844*G39+0.00051753*G39^2+2.69979197</f>
        <v>2.3428399655264318</v>
      </c>
      <c r="I40" s="621"/>
      <c r="J40" s="221">
        <f t="shared" ref="J40" si="62">C39*E40*F39*H40/1000000*I39</f>
        <v>0.80998912414546709</v>
      </c>
      <c r="K40" s="397">
        <f>9.45345681/G39-0.14325844*G39+0.00124097*G39^2+5.98054622</f>
        <v>4.0899614332216476</v>
      </c>
      <c r="L40" s="621"/>
      <c r="M40" s="221">
        <f>C39*E40*F39*K40/1000000*L39</f>
        <v>321.59544809982771</v>
      </c>
      <c r="N40" s="391">
        <f>0.6037810576/G39-0.0052863845*G39+0.0000423961*G39^2+0.3189943526</f>
        <v>0.2606544165757369</v>
      </c>
      <c r="O40" s="621"/>
      <c r="P40" s="221">
        <f>C39*E40*F39*N40/1000000*O39</f>
        <v>82.709918255140764</v>
      </c>
      <c r="Q40" s="392">
        <f>1.5469182952/G39-0.0051393982*G39+0.0000404677*G39^2+0.2460289003</f>
        <v>0.23712211982615847</v>
      </c>
      <c r="R40" s="659"/>
      <c r="S40" s="300">
        <f t="shared" ref="S40" si="63">C39*E40*F39*Q40/1000000*R39</f>
        <v>150.6494299207709</v>
      </c>
      <c r="T40" s="665"/>
      <c r="U40" s="665"/>
      <c r="V40" s="665"/>
      <c r="W40" s="666"/>
    </row>
    <row r="41" spans="1:23" ht="19.7" customHeight="1">
      <c r="A41" s="571"/>
      <c r="B41" s="540" t="s">
        <v>359</v>
      </c>
      <c r="C41" s="553">
        <f>'ｼｰﾄNO.3（表-3）59頁'!$F$30</f>
        <v>9</v>
      </c>
      <c r="D41" s="138" t="s">
        <v>65</v>
      </c>
      <c r="E41" s="294">
        <f>'ｼｰﾄNO.4（表-4）60頁'!G43</f>
        <v>165.29999999999998</v>
      </c>
      <c r="F41" s="543">
        <f>'ｼｰﾄNO.4（表-4）60頁'!C43/1000</f>
        <v>0.91</v>
      </c>
      <c r="G41" s="543">
        <f>F41/('ｼｰﾄNO.4（表-4）60頁'!D43/3600)</f>
        <v>19.384615384615387</v>
      </c>
      <c r="H41" s="219">
        <f>-2.71095565/G41-0.09453616*G41+0.00089493*G41^2+3.15403637</f>
        <v>1.5179202440037101</v>
      </c>
      <c r="I41" s="620">
        <v>6000</v>
      </c>
      <c r="J41" s="99">
        <f t="shared" ref="J41" si="64">C41*E41*F41*H41/1000000*I41</f>
        <v>12.329826310643581</v>
      </c>
      <c r="K41" s="396">
        <f>-0.25063622/G41-0.00657231*G41+0.00005332*G41^2+0.29056757</f>
        <v>0.17027192207335401</v>
      </c>
      <c r="L41" s="620">
        <v>1364600</v>
      </c>
      <c r="M41" s="99">
        <f>C41*E41*F41*K41/1000000*L41</f>
        <v>314.56120568068042</v>
      </c>
      <c r="N41" s="390">
        <f>0.093055673/G41-0.0002682273*G41+0.00000218*G41^2+0.0173678037</f>
        <v>1.778797574497511E-2</v>
      </c>
      <c r="O41" s="620">
        <v>5506900</v>
      </c>
      <c r="P41" s="99">
        <f>C41*E41*F41*N41/1000000*O41</f>
        <v>132.61433569052403</v>
      </c>
      <c r="Q41" s="390">
        <f>0.0505593958/G41-0.000357176*G41+0.0000031505*G41^2+0.0131649024</f>
        <v>1.003324813411759E-2</v>
      </c>
      <c r="R41" s="658">
        <v>11025800</v>
      </c>
      <c r="S41" s="99">
        <f t="shared" ref="S41" si="65">C41*E41*F41*Q41/1000000*R41</f>
        <v>149.76434062792163</v>
      </c>
      <c r="T41" s="665"/>
      <c r="U41" s="665"/>
      <c r="V41" s="665"/>
      <c r="W41" s="666"/>
    </row>
    <row r="42" spans="1:23" ht="19.7" customHeight="1">
      <c r="A42" s="571"/>
      <c r="B42" s="542"/>
      <c r="C42" s="566"/>
      <c r="D42" s="139" t="s">
        <v>66</v>
      </c>
      <c r="E42" s="297">
        <f>'ｼｰﾄNO.4（表-4）60頁'!G44</f>
        <v>8.7000000000000011</v>
      </c>
      <c r="F42" s="544"/>
      <c r="G42" s="544"/>
      <c r="H42" s="218">
        <f>12.28697452/G41-0.05907844*G41+0.00051753*G41^2+2.69979197</f>
        <v>2.3828997809279606</v>
      </c>
      <c r="I42" s="621"/>
      <c r="J42" s="221">
        <f t="shared" ref="J42" si="66">C41*E42*F41*H42/1000000*I41</f>
        <v>1.0187325485427601</v>
      </c>
      <c r="K42" s="397">
        <f>9.45345681/G41-0.14325844*G41+0.00124097*G41^2+5.98054622</f>
        <v>4.1575257867899413</v>
      </c>
      <c r="L42" s="621"/>
      <c r="M42" s="221">
        <f>C41*E42*F41*K42/1000000*L41</f>
        <v>404.24389789563173</v>
      </c>
      <c r="N42" s="391">
        <f>0.6037810576/G41-0.0052863845*G41+0.0000423961*G41^2+0.3189943526</f>
        <v>0.26359815682353716</v>
      </c>
      <c r="O42" s="621"/>
      <c r="P42" s="221">
        <f>C41*E42*F41*N42/1000000*O41</f>
        <v>103.43147397514146</v>
      </c>
      <c r="Q42" s="392">
        <f>1.5469182952/G41-0.0051393982*G41+0.0000404677*G41^2+0.2460289003</f>
        <v>0.24141126055616605</v>
      </c>
      <c r="R42" s="659"/>
      <c r="S42" s="100">
        <f t="shared" ref="S42" si="67">C41*E42*F41*Q42/1000000*R41</f>
        <v>189.65783496744251</v>
      </c>
      <c r="T42" s="665"/>
      <c r="U42" s="665"/>
      <c r="V42" s="665"/>
      <c r="W42" s="666"/>
    </row>
    <row r="43" spans="1:23" ht="19.7" customHeight="1">
      <c r="A43" s="571"/>
      <c r="B43" s="540" t="s">
        <v>360</v>
      </c>
      <c r="C43" s="553">
        <f>'ｼｰﾄNO.3（表-3）59頁'!$F$30</f>
        <v>9</v>
      </c>
      <c r="D43" s="138" t="s">
        <v>65</v>
      </c>
      <c r="E43" s="294">
        <f>'ｼｰﾄNO.4（表-4）60頁'!G45</f>
        <v>45.599999999999994</v>
      </c>
      <c r="F43" s="543">
        <f>'ｼｰﾄNO.4（表-4）60頁'!C45/1000</f>
        <v>0.76100000000000001</v>
      </c>
      <c r="G43" s="543">
        <f>F43/('ｼｰﾄNO.4（表-4）60頁'!D45/3600)</f>
        <v>19.997080291970804</v>
      </c>
      <c r="H43" s="219">
        <f>-2.71095565/G43-0.09453616*G43+0.00089493*G43^2+3.15403637</f>
        <v>1.4858891048555183</v>
      </c>
      <c r="I43" s="620">
        <v>6000</v>
      </c>
      <c r="J43" s="99">
        <f t="shared" ref="J43" si="68">C43*E43*F43*H43/1000000*I43</f>
        <v>2.7843873854969292</v>
      </c>
      <c r="K43" s="396">
        <f>-0.25063622/G43-0.00657231*G43+0.00005332*G43^2+0.29056757</f>
        <v>0.16792869179895592</v>
      </c>
      <c r="L43" s="620">
        <v>1364600</v>
      </c>
      <c r="M43" s="99">
        <f>C43*E43*F43*K43/1000000*L43</f>
        <v>71.568560249548227</v>
      </c>
      <c r="N43" s="390">
        <f>0.093055673/G43-0.0002682273*G43+0.00000218*G43^2+0.0173678037</f>
        <v>1.752924925310758E-2</v>
      </c>
      <c r="O43" s="620">
        <v>5506900</v>
      </c>
      <c r="P43" s="99">
        <f>C43*E43*F43*N43/1000000*O43</f>
        <v>30.148278291185328</v>
      </c>
      <c r="Q43" s="390">
        <f>0.0505593958/G43-0.000357176*G43+0.0000031505*G43^2+0.0131649024</f>
        <v>9.8105962254542121E-3</v>
      </c>
      <c r="R43" s="658">
        <v>11025800</v>
      </c>
      <c r="S43" s="393">
        <f t="shared" ref="S43" si="69">C43*E43*F43*Q43/1000000*R43</f>
        <v>33.782946165968873</v>
      </c>
      <c r="T43" s="665"/>
      <c r="U43" s="665"/>
      <c r="V43" s="665"/>
      <c r="W43" s="666"/>
    </row>
    <row r="44" spans="1:23" ht="19.7" customHeight="1">
      <c r="A44" s="571"/>
      <c r="B44" s="542"/>
      <c r="C44" s="566"/>
      <c r="D44" s="139" t="s">
        <v>66</v>
      </c>
      <c r="E44" s="297">
        <f>'ｼｰﾄNO.4（表-4）60頁'!G46</f>
        <v>2.4000000000000004</v>
      </c>
      <c r="F44" s="544"/>
      <c r="G44" s="544"/>
      <c r="H44" s="218">
        <f>12.28697452/G43-0.05907844*G43+0.00051753*G43^2+2.69979197</f>
        <v>2.3397856497877036</v>
      </c>
      <c r="I44" s="621"/>
      <c r="J44" s="221">
        <f t="shared" ref="J44" si="70">C43*E44*F43*H44/1000000*I43</f>
        <v>0.23076276358170214</v>
      </c>
      <c r="K44" s="397">
        <f>9.45345681/G43-0.14325844*G43+0.00124097*G43^2+5.98054622</f>
        <v>4.0847806265028197</v>
      </c>
      <c r="L44" s="621"/>
      <c r="M44" s="221">
        <f>C43*E44*F43*K44/1000000*L43</f>
        <v>91.624688789756263</v>
      </c>
      <c r="N44" s="391">
        <f>0.6037810576/G43-0.0052863845*G43+0.0000423961*G43^2+0.3189943526</f>
        <v>0.26042904697582031</v>
      </c>
      <c r="O44" s="621"/>
      <c r="P44" s="221">
        <f>C43*E44*F43*N44/1000000*O43</f>
        <v>23.574094480801325</v>
      </c>
      <c r="Q44" s="392">
        <f>1.5469182952/G43-0.0051393982*G43+0.0000404677*G43^2+0.2460289003</f>
        <v>0.23679550381545408</v>
      </c>
      <c r="R44" s="659"/>
      <c r="S44" s="300">
        <f t="shared" ref="S44" si="71">C43*E44*F43*Q44/1000000*R43</f>
        <v>42.916270132842719</v>
      </c>
      <c r="T44" s="665"/>
      <c r="U44" s="665"/>
      <c r="V44" s="665"/>
      <c r="W44" s="666"/>
    </row>
    <row r="45" spans="1:23" ht="19.7" customHeight="1">
      <c r="A45" s="571"/>
      <c r="B45" s="540" t="s">
        <v>232</v>
      </c>
      <c r="C45" s="553">
        <f>'ｼｰﾄNO.3（表-3）59頁'!$F$30</f>
        <v>9</v>
      </c>
      <c r="D45" s="138" t="s">
        <v>65</v>
      </c>
      <c r="E45" s="294">
        <f>'ｼｰﾄNO.4（表-4）60頁'!G47</f>
        <v>162.44999999999999</v>
      </c>
      <c r="F45" s="543">
        <f>'ｼｰﾄNO.4（表-4）60頁'!C47/1000</f>
        <v>0.84799999999999998</v>
      </c>
      <c r="G45" s="543">
        <f>F45/('ｼｰﾄNO.4（表-4）60頁'!D47/3600)</f>
        <v>29.63883495145631</v>
      </c>
      <c r="H45" s="219">
        <f>-2.71095565/G45-0.09453616*G45+0.00089493*G45^2+3.15403637</f>
        <v>1.046789078981619</v>
      </c>
      <c r="I45" s="620">
        <v>6000</v>
      </c>
      <c r="J45" s="99">
        <f t="shared" ref="J45" si="72">C45*E45*F45*H45/1000000*I45</f>
        <v>7.7869701662427868</v>
      </c>
      <c r="K45" s="396">
        <f>-0.25063622/G45-0.00657231*G45+0.00005332*G45^2+0.29056757</f>
        <v>0.13415512929699225</v>
      </c>
      <c r="L45" s="620">
        <v>1364600</v>
      </c>
      <c r="M45" s="99">
        <f>C45*E45*F45*K45/1000000*L45</f>
        <v>226.97118573891569</v>
      </c>
      <c r="N45" s="390">
        <f>0.093055673/G45-0.0002682273*G45+0.00000218*G45^2+0.0173678037</f>
        <v>1.4472556534503201E-2</v>
      </c>
      <c r="O45" s="620">
        <v>5506900</v>
      </c>
      <c r="P45" s="99">
        <f>C45*E45*F45*N45/1000000*O45</f>
        <v>98.812189434862134</v>
      </c>
      <c r="Q45" s="390">
        <f>0.0505593958/G45-0.000357176*G45+0.0000031505*G45^2+0.0131649024</f>
        <v>7.0520614456259286E-3</v>
      </c>
      <c r="R45" s="658">
        <v>11025800</v>
      </c>
      <c r="S45" s="99">
        <f t="shared" ref="S45" si="73">C45*E45*F45*Q45/1000000*R45</f>
        <v>96.401607429279906</v>
      </c>
      <c r="T45" s="665"/>
      <c r="U45" s="665"/>
      <c r="V45" s="665"/>
      <c r="W45" s="666"/>
    </row>
    <row r="46" spans="1:23" ht="19.7" customHeight="1">
      <c r="A46" s="571"/>
      <c r="B46" s="542"/>
      <c r="C46" s="566"/>
      <c r="D46" s="139" t="s">
        <v>66</v>
      </c>
      <c r="E46" s="297">
        <f>'ｼｰﾄNO.4（表-4）60頁'!G48</f>
        <v>8.5500000000000007</v>
      </c>
      <c r="F46" s="544"/>
      <c r="G46" s="544"/>
      <c r="H46" s="218">
        <f>12.28697452/G45-0.05907844*G45+0.00051753*G45^2+2.69979197</f>
        <v>1.8179621152766519</v>
      </c>
      <c r="I46" s="621"/>
      <c r="J46" s="221">
        <f t="shared" ref="J46" si="74">C45*E46*F45*H46/1000000*I45</f>
        <v>0.71177143611249927</v>
      </c>
      <c r="K46" s="397">
        <f>9.45345681/G45-0.14325844*G45+0.00124097*G45^2+5.98054622</f>
        <v>3.1436312088836642</v>
      </c>
      <c r="L46" s="621"/>
      <c r="M46" s="221">
        <f>C45*E46*F45*K46/1000000*L45</f>
        <v>279.92483766061429</v>
      </c>
      <c r="N46" s="391">
        <f>0.6037810576/G45-0.0052863845*G45+0.0000423961*G45^2+0.3189943526</f>
        <v>0.21992665745122206</v>
      </c>
      <c r="O46" s="621"/>
      <c r="P46" s="221">
        <f>C45*E46*F45*N46/1000000*O45</f>
        <v>79.029555682953998</v>
      </c>
      <c r="Q46" s="392">
        <f>1.5469182952/G45-0.0051393982*G45+0.0000404677*G45^2+0.2460289003</f>
        <v>0.18144468017139118</v>
      </c>
      <c r="R46" s="659"/>
      <c r="S46" s="100">
        <f t="shared" ref="S46" si="75">C45*E46*F45*Q46/1000000*R45</f>
        <v>130.54457430176723</v>
      </c>
      <c r="T46" s="665"/>
      <c r="U46" s="665"/>
      <c r="V46" s="665"/>
      <c r="W46" s="666"/>
    </row>
    <row r="47" spans="1:23" ht="19.7" customHeight="1">
      <c r="A47" s="571"/>
      <c r="B47" s="540" t="s">
        <v>233</v>
      </c>
      <c r="C47" s="553">
        <f>'ｼｰﾄNO.3（表-3）59頁'!$F$30</f>
        <v>9</v>
      </c>
      <c r="D47" s="138" t="s">
        <v>65</v>
      </c>
      <c r="E47" s="294">
        <f>'ｼｰﾄNO.4（表-4）60頁'!G49</f>
        <v>749.55</v>
      </c>
      <c r="F47" s="543">
        <f>'ｼｰﾄNO.4（表-4）60頁'!C49/1000</f>
        <v>0.61699999999999999</v>
      </c>
      <c r="G47" s="543">
        <f>F47/('ｼｰﾄNO.4（表-4）60頁'!D49/3600)</f>
        <v>26.131764705882354</v>
      </c>
      <c r="H47" s="219">
        <f>-2.71095565/G47-0.09453616*G47+0.00089493*G47^2+3.15403637</f>
        <v>1.1910179733605875</v>
      </c>
      <c r="I47" s="620">
        <v>6000</v>
      </c>
      <c r="J47" s="99">
        <f t="shared" ref="J47" si="76">C47*E47*F47*H47/1000000*I47</f>
        <v>29.743895575744649</v>
      </c>
      <c r="K47" s="396">
        <f>-0.25063622/G47-0.00657231*G47+0.00005332*G47^2+0.29056757</f>
        <v>0.14564084594972018</v>
      </c>
      <c r="L47" s="620">
        <v>1364600</v>
      </c>
      <c r="M47" s="99">
        <f>C47*E47*F47*K47/1000000*L47</f>
        <v>827.2120301973157</v>
      </c>
      <c r="N47" s="390">
        <f>0.093055673/G47-0.0002682273*G47+0.00000218*G47^2+0.0173678037</f>
        <v>1.5408223265116677E-2</v>
      </c>
      <c r="O47" s="620">
        <v>5506900</v>
      </c>
      <c r="P47" s="99">
        <f>C47*E47*F47*N47/1000000*O47</f>
        <v>353.17343950131993</v>
      </c>
      <c r="Q47" s="390">
        <f>0.0505593958/G47-0.000357176*G47+0.0000031505*G47^2+0.0131649024</f>
        <v>7.917429284222427E-3</v>
      </c>
      <c r="R47" s="658">
        <v>11025800</v>
      </c>
      <c r="S47" s="393">
        <f t="shared" ref="S47" si="77">C47*E47*F47*Q47/1000000*R47</f>
        <v>363.34784226818033</v>
      </c>
      <c r="T47" s="665"/>
      <c r="U47" s="665"/>
      <c r="V47" s="665"/>
      <c r="W47" s="666"/>
    </row>
    <row r="48" spans="1:23" ht="19.7" customHeight="1">
      <c r="A48" s="571"/>
      <c r="B48" s="542"/>
      <c r="C48" s="566"/>
      <c r="D48" s="139" t="s">
        <v>66</v>
      </c>
      <c r="E48" s="297">
        <f>'ｼｰﾄNO.4（表-4）60頁'!G50</f>
        <v>39.450000000000003</v>
      </c>
      <c r="F48" s="544"/>
      <c r="G48" s="544"/>
      <c r="H48" s="218">
        <f>12.28697452/G47-0.05907844*G47+0.00051753*G47^2+2.69979197</f>
        <v>1.9795664000408051</v>
      </c>
      <c r="I48" s="621"/>
      <c r="J48" s="221">
        <f t="shared" ref="J48" si="78">C47*E48*F47*H48/1000000*I47</f>
        <v>2.601932376338274</v>
      </c>
      <c r="K48" s="397">
        <f>9.45345681/G47-0.14325844*G47+0.00124097*G47^2+5.98054622</f>
        <v>3.4461316069828696</v>
      </c>
      <c r="L48" s="621"/>
      <c r="M48" s="221">
        <f>C47*E48*F47*K48/1000000*L47</f>
        <v>1030.1771364345725</v>
      </c>
      <c r="N48" s="391">
        <f>0.6037810576/G47-0.0052863845*G47+0.0000423961*G47^2+0.3189943526</f>
        <v>0.23290803835125132</v>
      </c>
      <c r="O48" s="621"/>
      <c r="P48" s="221">
        <f>C47*E48*F47*N48/1000000*O47</f>
        <v>280.97413882488553</v>
      </c>
      <c r="Q48" s="392">
        <f>1.5469182952/G47-0.0051393982*G47+0.0000404677*G47^2+0.2460289003</f>
        <v>0.19855835410889849</v>
      </c>
      <c r="R48" s="659"/>
      <c r="S48" s="300">
        <f t="shared" ref="S48" si="79">C47*E48*F47*Q48/1000000*R47</f>
        <v>479.5931325412659</v>
      </c>
      <c r="T48" s="665"/>
      <c r="U48" s="665"/>
      <c r="V48" s="665"/>
      <c r="W48" s="666"/>
    </row>
    <row r="49" spans="1:23" ht="19.7" customHeight="1">
      <c r="A49" s="571"/>
      <c r="B49" s="540" t="s">
        <v>255</v>
      </c>
      <c r="C49" s="553">
        <f>'ｼｰﾄNO.3（表-3）59頁'!$F$30</f>
        <v>9</v>
      </c>
      <c r="D49" s="138" t="s">
        <v>65</v>
      </c>
      <c r="E49" s="294">
        <f>'ｼｰﾄNO.4（表-4）60頁'!G51</f>
        <v>144.4</v>
      </c>
      <c r="F49" s="543">
        <f>'ｼｰﾄNO.4（表-4）60頁'!C51/1000</f>
        <v>0.82399999999999995</v>
      </c>
      <c r="G49" s="543">
        <f>F49/('ｼｰﾄNO.4（表-4）60頁'!D51/3600)</f>
        <v>26.967272727272725</v>
      </c>
      <c r="H49" s="219">
        <f>-2.71095565/G49-0.09453616*G49+0.00089493*G49^2+3.15403637</f>
        <v>1.1549496873745426</v>
      </c>
      <c r="I49" s="620">
        <v>6000</v>
      </c>
      <c r="J49" s="99">
        <f t="shared" ref="J49" si="80">C49*E49*F49*H49/1000000*I49</f>
        <v>7.4208086021919089</v>
      </c>
      <c r="K49" s="396">
        <f>-0.25063622/G49-0.00657231*G49+0.00005332*G49^2+0.29056757</f>
        <v>0.14281231138487471</v>
      </c>
      <c r="L49" s="620">
        <v>1364600</v>
      </c>
      <c r="M49" s="99">
        <f>C49*E49*F49*K49/1000000*L49</f>
        <v>208.69302273827881</v>
      </c>
      <c r="N49" s="390">
        <f>0.093055673/G49-0.0002682273*G49+0.00000218*G49^2+0.0173678037</f>
        <v>1.517050368921115E-2</v>
      </c>
      <c r="O49" s="620">
        <v>5506900</v>
      </c>
      <c r="P49" s="99">
        <f>C49*E49*F49*N49/1000000*O49</f>
        <v>89.463133385410302</v>
      </c>
      <c r="Q49" s="390">
        <f>0.0505593958/G49-0.000357176*G49+0.0000031505*G49^2+0.0131649024</f>
        <v>7.698832629539477E-3</v>
      </c>
      <c r="R49" s="658">
        <v>11025800</v>
      </c>
      <c r="S49" s="99">
        <f t="shared" ref="S49" si="81">C49*E49*F49*Q49/1000000*R49</f>
        <v>90.901678613828153</v>
      </c>
      <c r="T49" s="665"/>
      <c r="U49" s="665"/>
      <c r="V49" s="665"/>
      <c r="W49" s="666"/>
    </row>
    <row r="50" spans="1:23" ht="19.7" customHeight="1">
      <c r="A50" s="571"/>
      <c r="B50" s="542"/>
      <c r="C50" s="566"/>
      <c r="D50" s="139" t="s">
        <v>66</v>
      </c>
      <c r="E50" s="297">
        <f>'ｼｰﾄNO.4（表-4）60頁'!G52</f>
        <v>7.6000000000000005</v>
      </c>
      <c r="F50" s="544"/>
      <c r="G50" s="544"/>
      <c r="H50" s="218">
        <f>12.28697452/G49-0.05907844*G49+0.00051753*G49^2+2.69979197</f>
        <v>1.9385982774635997</v>
      </c>
      <c r="I50" s="621"/>
      <c r="J50" s="221">
        <f t="shared" ref="J50" si="82">C49*E50*F49*H50/1000000*I49</f>
        <v>0.65557500405055458</v>
      </c>
      <c r="K50" s="397">
        <f>9.45345681/G49-0.14325844*G49+0.00124097*G49^2+5.98054622</f>
        <v>3.3702850674289411</v>
      </c>
      <c r="L50" s="621"/>
      <c r="M50" s="221">
        <f>C49*E50*F49*K50/1000000*L49</f>
        <v>259.21212747544757</v>
      </c>
      <c r="N50" s="391">
        <f>0.6037810576/G49-0.0052863845*G49+0.0000423961*G49^2+0.3189943526</f>
        <v>0.2296562569447077</v>
      </c>
      <c r="O50" s="621"/>
      <c r="P50" s="221">
        <f>C49*E50*F49*N50/1000000*O49</f>
        <v>71.280179682012374</v>
      </c>
      <c r="Q50" s="392">
        <f>1.5469182952/G49-0.0051393982*G49+0.0000404677*G49^2+0.2460289003</f>
        <v>0.19422562742821875</v>
      </c>
      <c r="R50" s="659"/>
      <c r="S50" s="100">
        <f t="shared" ref="S50" si="83">C49*E50*F49*Q50/1000000*R49</f>
        <v>120.69796752321099</v>
      </c>
      <c r="T50" s="665"/>
      <c r="U50" s="665"/>
      <c r="V50" s="665"/>
      <c r="W50" s="666"/>
    </row>
    <row r="51" spans="1:23" ht="19.7" customHeight="1">
      <c r="A51" s="571"/>
      <c r="B51" s="540" t="s">
        <v>362</v>
      </c>
      <c r="C51" s="553">
        <f>'ｼｰﾄNO.3（表-3）59頁'!$F$30</f>
        <v>9</v>
      </c>
      <c r="D51" s="138" t="s">
        <v>65</v>
      </c>
      <c r="E51" s="294">
        <f>'ｼｰﾄNO.4（表-4）60頁'!G53</f>
        <v>43.699999999999996</v>
      </c>
      <c r="F51" s="543">
        <f>'ｼｰﾄNO.4（表-4）60頁'!C53/1000</f>
        <v>0.91</v>
      </c>
      <c r="G51" s="543">
        <f>F51/('ｼｰﾄNO.4（表-4）60頁'!D53/3600)</f>
        <v>24.81818181818182</v>
      </c>
      <c r="H51" s="219">
        <f>-2.71095565/G51-0.09453616*G51+0.00089493*G51^2+3.15403637</f>
        <v>1.2498132246792601</v>
      </c>
      <c r="I51" s="620">
        <v>6000</v>
      </c>
      <c r="J51" s="99">
        <f t="shared" ref="J51" si="84">C51*E51*F51*H51/1000000*I51</f>
        <v>2.6838714153142873</v>
      </c>
      <c r="K51" s="396">
        <f>-0.25063622/G51-0.00657231*G51+0.00005332*G51^2+0.29056757</f>
        <v>0.15019792551509098</v>
      </c>
      <c r="L51" s="620">
        <v>1364600</v>
      </c>
      <c r="M51" s="99">
        <f>C51*E51*F51*K51/1000000*L51</f>
        <v>73.355830789877416</v>
      </c>
      <c r="N51" s="390">
        <f>0.093055673/G51-0.0002682273*G51+0.00000218*G51^2+0.0173678037</f>
        <v>1.5803139665982503E-2</v>
      </c>
      <c r="O51" s="620">
        <v>5506900</v>
      </c>
      <c r="P51" s="99">
        <f>C51*E51*F51*N51/1000000*O51</f>
        <v>31.146977365869272</v>
      </c>
      <c r="Q51" s="390">
        <f>0.0505593958/G51-0.000357176*G51+0.0000031505*G51^2+0.0131649024</f>
        <v>8.2781610027396826E-3</v>
      </c>
      <c r="R51" s="658">
        <v>11025800</v>
      </c>
      <c r="S51" s="393">
        <f t="shared" ref="S51" si="85">C51*E51*F51*Q51/1000000*R51</f>
        <v>32.66700492035892</v>
      </c>
      <c r="T51" s="665"/>
      <c r="U51" s="665"/>
      <c r="V51" s="665"/>
      <c r="W51" s="666"/>
    </row>
    <row r="52" spans="1:23" ht="19.7" customHeight="1">
      <c r="A52" s="571"/>
      <c r="B52" s="542"/>
      <c r="C52" s="566"/>
      <c r="D52" s="139" t="s">
        <v>66</v>
      </c>
      <c r="E52" s="297">
        <f>'ｼｰﾄNO.4（表-4）60頁'!G54</f>
        <v>2.3000000000000003</v>
      </c>
      <c r="F52" s="544"/>
      <c r="G52" s="544"/>
      <c r="H52" s="218">
        <f>12.28697452/G51-0.05907844*G51+0.00051753*G51^2+2.69979197</f>
        <v>2.047420604207308</v>
      </c>
      <c r="I52" s="621"/>
      <c r="J52" s="221">
        <f t="shared" ref="J52" si="86">C51*E52*F51*H52/1000000*I51</f>
        <v>0.23140357152871838</v>
      </c>
      <c r="K52" s="397">
        <f>9.45345681/G51-0.14325844*G51+0.00124097*G51^2+5.98054622</f>
        <v>3.5704064535918629</v>
      </c>
      <c r="L52" s="621"/>
      <c r="M52" s="221">
        <f>C51*E52*F51*K52/1000000*L51</f>
        <v>91.777191491466539</v>
      </c>
      <c r="N52" s="391">
        <f>0.6037810576/G51-0.0052863845*G51+0.0000423961*G51^2+0.3189943526</f>
        <v>0.23823762033329093</v>
      </c>
      <c r="O52" s="621"/>
      <c r="P52" s="221">
        <f>C51*E52*F51*N52/1000000*O51</f>
        <v>24.713216304374217</v>
      </c>
      <c r="Q52" s="392">
        <f>1.5469182952/G51-0.0051393982*G51+0.0000404677*G51^2+0.2460289003</f>
        <v>0.20573418462828685</v>
      </c>
      <c r="R52" s="659"/>
      <c r="S52" s="300">
        <f t="shared" ref="S52" si="87">C51*E52*F51*Q52/1000000*R51</f>
        <v>42.729548897038192</v>
      </c>
      <c r="T52" s="665"/>
      <c r="U52" s="665"/>
      <c r="V52" s="665"/>
      <c r="W52" s="666"/>
    </row>
    <row r="53" spans="1:23" ht="19.7" customHeight="1">
      <c r="A53" s="571"/>
      <c r="B53" s="540" t="s">
        <v>236</v>
      </c>
      <c r="C53" s="553">
        <f>'ｼｰﾄNO.3（表-3）59頁'!$F$30</f>
        <v>9</v>
      </c>
      <c r="D53" s="138" t="s">
        <v>65</v>
      </c>
      <c r="E53" s="294">
        <f>'ｼｰﾄNO.4（表-4）60頁'!G55</f>
        <v>745.75</v>
      </c>
      <c r="F53" s="543">
        <f>'ｼｰﾄNO.4（表-4）60頁'!C55/1000</f>
        <v>0.61699999999999999</v>
      </c>
      <c r="G53" s="543">
        <f>F53/('ｼｰﾄNO.4（表-4）60頁'!D55/3600)</f>
        <v>26.442857142857143</v>
      </c>
      <c r="H53" s="219">
        <f>-2.71095565/G53-0.09453616*G53+0.00089493*G53^2+3.15403637</f>
        <v>1.1774660682172056</v>
      </c>
      <c r="I53" s="620">
        <v>6000</v>
      </c>
      <c r="J53" s="99">
        <f t="shared" ref="J53" si="88">C53*E53*F53*H53/1000000*I53</f>
        <v>29.256379884186977</v>
      </c>
      <c r="K53" s="396">
        <f>-0.25063622/G53-0.00657231*G53+0.00005332*G53^2+0.29056757</f>
        <v>0.14458116706475485</v>
      </c>
      <c r="L53" s="620">
        <v>1364600</v>
      </c>
      <c r="M53" s="99">
        <f>C53*E53*F53*K53/1000000*L53</f>
        <v>817.0300472427748</v>
      </c>
      <c r="N53" s="390">
        <f>0.093055673/G53-0.0002682273*G53+0.00000218*G53^2+0.0173678037</f>
        <v>1.5318540593027376E-2</v>
      </c>
      <c r="O53" s="620">
        <v>5506900</v>
      </c>
      <c r="P53" s="99">
        <f>C53*E53*F53*N53/1000000*O53</f>
        <v>349.33774896626642</v>
      </c>
      <c r="Q53" s="390">
        <f>0.0505593958/G53-0.000357176*G53+0.0000031505*G53^2+0.0131649024</f>
        <v>7.835080547802676E-3</v>
      </c>
      <c r="R53" s="658">
        <v>11025800</v>
      </c>
      <c r="S53" s="99">
        <f t="shared" ref="S53" si="89">C53*E53*F53*Q53/1000000*R53</f>
        <v>357.74577340916755</v>
      </c>
      <c r="T53" s="665"/>
      <c r="U53" s="665"/>
      <c r="V53" s="665"/>
      <c r="W53" s="666"/>
    </row>
    <row r="54" spans="1:23" ht="19.7" customHeight="1">
      <c r="A54" s="572"/>
      <c r="B54" s="542"/>
      <c r="C54" s="566"/>
      <c r="D54" s="139" t="s">
        <v>66</v>
      </c>
      <c r="E54" s="297">
        <f>'ｼｰﾄNO.4（表-4）60頁'!G56</f>
        <v>39.25</v>
      </c>
      <c r="F54" s="544"/>
      <c r="G54" s="544"/>
      <c r="H54" s="218">
        <f>12.28697452/G53-0.05907844*G53+0.00051753*G53^2+2.69979197</f>
        <v>1.9641203577708941</v>
      </c>
      <c r="I54" s="621"/>
      <c r="J54" s="221">
        <f t="shared" ref="J54" si="90">C53*E54*F53*H54/1000000*I53</f>
        <v>2.5685420616482681</v>
      </c>
      <c r="K54" s="397">
        <f>9.45345681/G53-0.14325844*G53+0.00124097*G53^2+5.98054622</f>
        <v>3.4176057447057486</v>
      </c>
      <c r="L54" s="621"/>
      <c r="M54" s="221">
        <f>C53*E54*F53*K54/1000000*L53</f>
        <v>1016.4702272313859</v>
      </c>
      <c r="N54" s="391">
        <f>0.6037810576/G53-0.0052863845*G53+0.0000423961*G53^2+0.3189943526</f>
        <v>0.23168506986225051</v>
      </c>
      <c r="O54" s="621"/>
      <c r="P54" s="221">
        <f>C53*E54*F53*N54/1000000*O53</f>
        <v>278.08180442054788</v>
      </c>
      <c r="Q54" s="392">
        <f>1.5469182952/G53-0.0051393982*G53+0.0000404677*G53^2+0.2460289003</f>
        <v>0.19692496479413757</v>
      </c>
      <c r="R54" s="659"/>
      <c r="S54" s="100">
        <f t="shared" ref="S54" si="91">C53*E54*F53*Q54/1000000*R53</f>
        <v>473.23648667469206</v>
      </c>
      <c r="T54" s="617"/>
      <c r="U54" s="617"/>
      <c r="V54" s="617"/>
      <c r="W54" s="666"/>
    </row>
    <row r="55" spans="1:23" ht="19.7" customHeight="1">
      <c r="A55" s="570" t="s">
        <v>962</v>
      </c>
      <c r="B55" s="540" t="s">
        <v>224</v>
      </c>
      <c r="C55" s="553">
        <f>'ｼｰﾄNO.3（表-3）59頁'!$F$30</f>
        <v>9</v>
      </c>
      <c r="D55" s="138" t="s">
        <v>65</v>
      </c>
      <c r="E55" s="294">
        <f>'ｼｰﾄNO.4（表-4）60頁'!G60</f>
        <v>775.19999999999993</v>
      </c>
      <c r="F55" s="543">
        <f>'ｼｰﾄNO.4（表-4）60頁'!C60/1000</f>
        <v>1.054</v>
      </c>
      <c r="G55" s="543">
        <f>F55/('ｼｰﾄNO.4（表-4）60頁'!D60/3600)</f>
        <v>30.3552</v>
      </c>
      <c r="H55" s="219">
        <f>-2.71095565/G55-0.09453616*G55+0.00089493*G55^2+3.15403637</f>
        <v>1.0196872006283328</v>
      </c>
      <c r="I55" s="620">
        <v>6000</v>
      </c>
      <c r="J55" s="99">
        <f>C55*E55*F55*H55/1000000*I55</f>
        <v>44.989907754337892</v>
      </c>
      <c r="K55" s="396">
        <f>-0.25063622/G55-0.00657231*G55+0.00005332*G55^2+0.29056757</f>
        <v>0.13193808816768687</v>
      </c>
      <c r="L55" s="620">
        <v>1364600</v>
      </c>
      <c r="M55" s="99">
        <f>C55*E55*F55*K55/1000000*L55</f>
        <v>1323.9526036041984</v>
      </c>
      <c r="N55" s="390">
        <f>0.093055673/G55-0.0002682273*G55+0.00000218*G55^2+0.0173678037</f>
        <v>1.4300005108880222E-2</v>
      </c>
      <c r="O55" s="620">
        <v>5506900</v>
      </c>
      <c r="P55" s="99">
        <f>C55*E55*F55*N55/1000000*O55</f>
        <v>579.08226866760106</v>
      </c>
      <c r="Q55" s="390">
        <f>0.0505593958/G55-0.000357176*G55+0.0000031505*G55^2+0.0131649024</f>
        <v>6.8913370072785788E-3</v>
      </c>
      <c r="R55" s="658">
        <v>11025800</v>
      </c>
      <c r="S55" s="375">
        <f>C55*E55*F55*Q55/1000000*R55</f>
        <v>558.74092641184404</v>
      </c>
      <c r="T55" s="616">
        <f>SUM(J55:J78)+SUM(M55:M78)+SUM(P55:P78)+SUM(S55:S78)</f>
        <v>22005.116980008082</v>
      </c>
      <c r="U55" s="616">
        <f>'ｼｰﾄNO.3（表-3）59頁'!F34</f>
        <v>38</v>
      </c>
      <c r="V55" s="616">
        <f>T55*U55</f>
        <v>836194.44524030713</v>
      </c>
      <c r="W55" s="666"/>
    </row>
    <row r="56" spans="1:23" ht="19.7" customHeight="1">
      <c r="A56" s="571"/>
      <c r="B56" s="542"/>
      <c r="C56" s="566"/>
      <c r="D56" s="139" t="s">
        <v>66</v>
      </c>
      <c r="E56" s="297">
        <f>'ｼｰﾄNO.4（表-4）60頁'!G61</f>
        <v>40.800000000000004</v>
      </c>
      <c r="F56" s="544"/>
      <c r="G56" s="544"/>
      <c r="H56" s="218">
        <f>12.28697452/G55-0.05907844*G55+0.00051753*G55^2+2.69979197</f>
        <v>1.7880993041444451</v>
      </c>
      <c r="I56" s="621"/>
      <c r="J56" s="221">
        <f>C55*E56*F55*H56/1000000*I55</f>
        <v>4.1522755677831578</v>
      </c>
      <c r="K56" s="397">
        <f>9.45345681/G55-0.14325844*G55+0.00124097*G55^2+5.98054622</f>
        <v>3.08681266468583</v>
      </c>
      <c r="L56" s="621"/>
      <c r="M56" s="221">
        <f>C55*E56*F55*K56/1000000*L55</f>
        <v>1630.2676988025121</v>
      </c>
      <c r="N56" s="391">
        <f>0.6037810576/G55-0.0052863845*G55+0.0000423961*G55^2+0.3189943526</f>
        <v>0.21748100986125168</v>
      </c>
      <c r="O56" s="621"/>
      <c r="P56" s="221">
        <f>C55*E56*F55*N56/1000000*O55</f>
        <v>463.52356124009509</v>
      </c>
      <c r="Q56" s="392">
        <f>1.5469182952/G55-0.0051393982*G55+0.0000404677*G55^2+0.2460289003</f>
        <v>0.17827049339593087</v>
      </c>
      <c r="R56" s="659"/>
      <c r="S56" s="221">
        <f>C55*E56*F55*Q56/1000000*R55</f>
        <v>760.73405850925406</v>
      </c>
      <c r="T56" s="665"/>
      <c r="U56" s="665"/>
      <c r="V56" s="665"/>
      <c r="W56" s="666"/>
    </row>
    <row r="57" spans="1:23" ht="19.7" customHeight="1">
      <c r="A57" s="571"/>
      <c r="B57" s="540" t="s">
        <v>257</v>
      </c>
      <c r="C57" s="553">
        <f>'ｼｰﾄNO.3（表-3）59頁'!$F$30</f>
        <v>9</v>
      </c>
      <c r="D57" s="138" t="s">
        <v>65</v>
      </c>
      <c r="E57" s="294">
        <f>'ｼｰﾄNO.4（表-4）60頁'!G62</f>
        <v>148.19999999999999</v>
      </c>
      <c r="F57" s="543">
        <f>'ｼｰﾄNO.4（表-4）60頁'!C62/1000</f>
        <v>0.76100000000000001</v>
      </c>
      <c r="G57" s="543">
        <f>F57/('ｼｰﾄNO.4（表-4）60頁'!D62/3600)</f>
        <v>27.672727272727272</v>
      </c>
      <c r="H57" s="219">
        <f>-2.71095565/G57-0.09453616*G57+0.00089493*G57^2+3.15403637</f>
        <v>1.1253174555891423</v>
      </c>
      <c r="I57" s="620">
        <v>6000</v>
      </c>
      <c r="J57" s="99">
        <f t="shared" ref="J57" si="92">C57*E57*F57*H57/1000000*I57</f>
        <v>6.8533304960610675</v>
      </c>
      <c r="K57" s="396">
        <f>-0.25063622/G57-0.00657231*G57+0.00005332*G57^2+0.29056757</f>
        <v>0.14046805216606251</v>
      </c>
      <c r="L57" s="620">
        <v>1364600</v>
      </c>
      <c r="M57" s="99">
        <f>C57*E57*F57*K57/1000000*L57</f>
        <v>194.56212322854287</v>
      </c>
      <c r="N57" s="390">
        <f>0.093055673/G57-0.0002682273*G57+0.00000218*G57^2+0.0173678037</f>
        <v>1.4977344248710157E-2</v>
      </c>
      <c r="O57" s="620">
        <v>5506900</v>
      </c>
      <c r="P57" s="99">
        <f>C57*E57*F57*N57/1000000*O57</f>
        <v>83.717716135337838</v>
      </c>
      <c r="Q57" s="390">
        <f>0.0505593958/G57-0.000357176*G57+0.0000031505*G57^2+0.0131649024</f>
        <v>7.5205055443248875E-3</v>
      </c>
      <c r="R57" s="658">
        <v>11025800</v>
      </c>
      <c r="S57" s="394">
        <f t="shared" ref="S57" si="93">C57*E57*F57*Q57/1000000*R57</f>
        <v>84.16519152813926</v>
      </c>
      <c r="T57" s="665"/>
      <c r="U57" s="665"/>
      <c r="V57" s="665"/>
      <c r="W57" s="666"/>
    </row>
    <row r="58" spans="1:23" ht="19.7" customHeight="1">
      <c r="A58" s="571"/>
      <c r="B58" s="542"/>
      <c r="C58" s="566"/>
      <c r="D58" s="139" t="s">
        <v>66</v>
      </c>
      <c r="E58" s="297">
        <f>'ｼｰﾄNO.4（表-4）60頁'!G63</f>
        <v>7.8000000000000007</v>
      </c>
      <c r="F58" s="544"/>
      <c r="G58" s="544"/>
      <c r="H58" s="218">
        <f>12.28697452/G57-0.05907844*G57+0.00051753*G57^2+2.69979197</f>
        <v>1.9052546987913122</v>
      </c>
      <c r="I58" s="621"/>
      <c r="J58" s="221">
        <f t="shared" ref="J58" si="94">C57*E58*F57*H58/1000000*I57</f>
        <v>0.61069738541861551</v>
      </c>
      <c r="K58" s="397">
        <f>9.45345681/G57-0.14325844*G57+0.00124097*G57^2+5.98054622</f>
        <v>3.3081206580272831</v>
      </c>
      <c r="L58" s="621"/>
      <c r="M58" s="221">
        <f>C57*E58*F57*K58/1000000*L57</f>
        <v>241.16177803119999</v>
      </c>
      <c r="N58" s="391">
        <f>0.6037810576/G57-0.0052863845*G57+0.0000423961*G57^2+0.3189943526</f>
        <v>0.22699038669656341</v>
      </c>
      <c r="O58" s="621"/>
      <c r="P58" s="221">
        <f>C57*E58*F57*N58/1000000*O57</f>
        <v>66.778463747265974</v>
      </c>
      <c r="Q58" s="392">
        <f>1.5469182952/G57-0.0051393982*G57+0.0000404677*G57^2+0.2460289003</f>
        <v>0.19069754820097537</v>
      </c>
      <c r="R58" s="659"/>
      <c r="S58" s="393">
        <f t="shared" ref="S58" si="95">C57*E58*F57*Q58/1000000*R57</f>
        <v>112.32514520455878</v>
      </c>
      <c r="T58" s="665"/>
      <c r="U58" s="665"/>
      <c r="V58" s="665"/>
      <c r="W58" s="666"/>
    </row>
    <row r="59" spans="1:23" ht="19.7" customHeight="1">
      <c r="A59" s="571"/>
      <c r="B59" s="540" t="s">
        <v>355</v>
      </c>
      <c r="C59" s="553">
        <f>'ｼｰﾄNO.3（表-3）59頁'!$F$30</f>
        <v>9</v>
      </c>
      <c r="D59" s="138" t="s">
        <v>65</v>
      </c>
      <c r="E59" s="294">
        <f>'ｼｰﾄNO.4（表-4）60頁'!G64</f>
        <v>38.949999999999996</v>
      </c>
      <c r="F59" s="543">
        <f>'ｼｰﾄNO.4（表-4）60頁'!C64/1000</f>
        <v>0.82399999999999995</v>
      </c>
      <c r="G59" s="543">
        <f>F59/('ｼｰﾄNO.4（表-4）60頁'!D64/3600)</f>
        <v>21.495652173913044</v>
      </c>
      <c r="H59" s="219">
        <f>-2.71095565/G59-0.09453616*G59+0.00089493*G59^2+3.15403637</f>
        <v>1.4093175888998382</v>
      </c>
      <c r="I59" s="620">
        <v>6000</v>
      </c>
      <c r="J59" s="99">
        <f t="shared" ref="J59" si="96">C59*E59*F59*H59/1000000*I59</f>
        <v>2.4425153722200159</v>
      </c>
      <c r="K59" s="396">
        <f>-0.25063622/G59-0.00657231*G59+0.00005332*G59^2+0.29056757</f>
        <v>0.16226882623412497</v>
      </c>
      <c r="L59" s="620">
        <v>1364600</v>
      </c>
      <c r="M59" s="99">
        <f>C59*E59*F59*K59/1000000*L59</f>
        <v>63.961353417143144</v>
      </c>
      <c r="N59" s="390">
        <f>0.093055673/G59-0.0002682273*G59+0.00000218*G59^2+0.0173678037</f>
        <v>1.693842670793911E-2</v>
      </c>
      <c r="O59" s="620">
        <v>5506900</v>
      </c>
      <c r="P59" s="99">
        <f>C59*E59*F59*N59/1000000*O59</f>
        <v>26.943712925972338</v>
      </c>
      <c r="Q59" s="390">
        <f>0.0505593958/G59-0.000357176*G59+0.0000031505*G59^2+0.0131649024</f>
        <v>9.2949764690253012E-3</v>
      </c>
      <c r="R59" s="658">
        <v>11025800</v>
      </c>
      <c r="S59" s="375">
        <f t="shared" ref="S59" si="97">C59*E59*F59*Q59/1000000*R59</f>
        <v>29.602990666411916</v>
      </c>
      <c r="T59" s="665"/>
      <c r="U59" s="665"/>
      <c r="V59" s="665"/>
      <c r="W59" s="666"/>
    </row>
    <row r="60" spans="1:23" ht="19.7" customHeight="1">
      <c r="A60" s="571"/>
      <c r="B60" s="542"/>
      <c r="C60" s="566"/>
      <c r="D60" s="139" t="s">
        <v>66</v>
      </c>
      <c r="E60" s="297">
        <f>'ｼｰﾄNO.4（表-4）60頁'!G65</f>
        <v>2.0500000000000003</v>
      </c>
      <c r="F60" s="544"/>
      <c r="G60" s="544"/>
      <c r="H60" s="218">
        <f>12.28697452/G59-0.05907844*G59+0.00051753*G59^2+2.69979197</f>
        <v>2.2405966485023963</v>
      </c>
      <c r="I60" s="621"/>
      <c r="J60" s="221">
        <f t="shared" ref="J60" si="98">C59*E60*F59*H60/1000000*I59</f>
        <v>0.2043800563671134</v>
      </c>
      <c r="K60" s="397">
        <f>9.45345681/G59-0.14325844*G59+0.00124097*G59^2+5.98054622</f>
        <v>3.9143036220954515</v>
      </c>
      <c r="L60" s="621"/>
      <c r="M60" s="221">
        <f>C59*E60*F59*K60/1000000*L59</f>
        <v>81.205128669637688</v>
      </c>
      <c r="N60" s="391">
        <f>0.6037810576/G59-0.0052863845*G59+0.0000423961*G59^2+0.3189943526</f>
        <v>0.25303826200391566</v>
      </c>
      <c r="O60" s="621"/>
      <c r="P60" s="221">
        <f>C59*E60*F59*N60/1000000*O59</f>
        <v>21.184439034380404</v>
      </c>
      <c r="Q60" s="392">
        <f>1.5469182952/G59-0.0051393982*G59+0.0000404677*G59^2+0.2460289003</f>
        <v>0.22621705467840333</v>
      </c>
      <c r="R60" s="659"/>
      <c r="S60" s="221">
        <f t="shared" ref="S60" si="99">C59*E60*F59*Q60/1000000*R59</f>
        <v>37.919188649595853</v>
      </c>
      <c r="T60" s="665"/>
      <c r="U60" s="665"/>
      <c r="V60" s="665"/>
      <c r="W60" s="666"/>
    </row>
    <row r="61" spans="1:23" ht="19.7" customHeight="1">
      <c r="A61" s="571"/>
      <c r="B61" s="540" t="s">
        <v>356</v>
      </c>
      <c r="C61" s="553">
        <f>'ｼｰﾄNO.3（表-3）59頁'!$F$30</f>
        <v>9</v>
      </c>
      <c r="D61" s="138" t="s">
        <v>65</v>
      </c>
      <c r="E61" s="294">
        <f>'ｼｰﾄNO.4（表-4）60頁'!G66</f>
        <v>755.25</v>
      </c>
      <c r="F61" s="543">
        <f>'ｼｰﾄNO.4（表-4）60頁'!C66/1000</f>
        <v>1.054</v>
      </c>
      <c r="G61" s="543">
        <f>F61/('ｼｰﾄNO.4（表-4）60頁'!D66/3600)</f>
        <v>28.529323308270676</v>
      </c>
      <c r="H61" s="219">
        <f>-2.71095565/G61-0.09453616*G61+0.00089493*G61^2+3.15403637</f>
        <v>1.0903636882647412</v>
      </c>
      <c r="I61" s="620">
        <v>6000</v>
      </c>
      <c r="J61" s="99">
        <f t="shared" ref="J61" si="100">C61*E61*F61*H61/1000000*I61</f>
        <v>46.870165244283712</v>
      </c>
      <c r="K61" s="396">
        <f>-0.25063622/G61-0.00657231*G61+0.00005332*G61^2+0.29056757</f>
        <v>0.13767713521514519</v>
      </c>
      <c r="L61" s="620">
        <v>1364600</v>
      </c>
      <c r="M61" s="99">
        <f>C61*E61*F61*K61/1000000*L61</f>
        <v>1345.9875469482447</v>
      </c>
      <c r="N61" s="390">
        <f>0.093055673/G61-0.0002682273*G61+0.00000218*G61^2+0.0173678037</f>
        <v>1.4751566279329546E-2</v>
      </c>
      <c r="O61" s="620">
        <v>5506900</v>
      </c>
      <c r="P61" s="99">
        <f>C61*E61*F61*N61/1000000*O61</f>
        <v>581.99490053503973</v>
      </c>
      <c r="Q61" s="390">
        <f>0.0505593958/G61-0.000357176*G61+0.0000031505*G61^2+0.0131649024</f>
        <v>7.3113654898980911E-3</v>
      </c>
      <c r="R61" s="658">
        <v>11025800</v>
      </c>
      <c r="S61" s="394">
        <f t="shared" ref="S61" si="101">C61*E61*F61*Q61/1000000*R61</f>
        <v>577.54051953963165</v>
      </c>
      <c r="T61" s="665"/>
      <c r="U61" s="665"/>
      <c r="V61" s="665"/>
      <c r="W61" s="666"/>
    </row>
    <row r="62" spans="1:23" ht="19.7" customHeight="1">
      <c r="A62" s="571"/>
      <c r="B62" s="542"/>
      <c r="C62" s="566"/>
      <c r="D62" s="139" t="s">
        <v>66</v>
      </c>
      <c r="E62" s="297">
        <f>'ｼｰﾄNO.4（表-4）60頁'!G67</f>
        <v>39.75</v>
      </c>
      <c r="F62" s="544"/>
      <c r="G62" s="544"/>
      <c r="H62" s="218">
        <f>12.28697452/G61-0.05907844*G61+0.00051753*G61^2+2.69979197</f>
        <v>1.8662320493584521</v>
      </c>
      <c r="I62" s="621"/>
      <c r="J62" s="221">
        <f t="shared" ref="J62" si="102">C61*E62*F61*H62/1000000*I61</f>
        <v>4.2221839170211046</v>
      </c>
      <c r="K62" s="397">
        <f>9.45345681/G61-0.14325844*G61+0.00124097*G61^2+5.98054622</f>
        <v>3.2348923182010179</v>
      </c>
      <c r="L62" s="621"/>
      <c r="M62" s="221">
        <f>C61*E62*F61*K62/1000000*L61</f>
        <v>1664.5063215291832</v>
      </c>
      <c r="N62" s="391">
        <f>0.6037810576/G61-0.0052863845*G61+0.0000423961*G61^2+0.3189943526</f>
        <v>0.22384803616926019</v>
      </c>
      <c r="O62" s="621"/>
      <c r="P62" s="221">
        <f>C61*E62*F61*N62/1000000*O61</f>
        <v>464.81563944284915</v>
      </c>
      <c r="Q62" s="392">
        <f>1.5469182952/G61-0.0051393982*G61+0.0000404677*G61^2+0.2460289003</f>
        <v>0.18656495693946479</v>
      </c>
      <c r="R62" s="659"/>
      <c r="S62" s="393">
        <f t="shared" ref="S62" si="103">C61*E62*F61*Q62/1000000*R61</f>
        <v>775.64042554943012</v>
      </c>
      <c r="T62" s="665"/>
      <c r="U62" s="665"/>
      <c r="V62" s="665"/>
      <c r="W62" s="666"/>
    </row>
    <row r="63" spans="1:23" ht="19.7" customHeight="1">
      <c r="A63" s="571"/>
      <c r="B63" s="540" t="s">
        <v>358</v>
      </c>
      <c r="C63" s="553">
        <f>'ｼｰﾄNO.3（表-3）59頁'!$F$30</f>
        <v>9</v>
      </c>
      <c r="D63" s="138" t="s">
        <v>65</v>
      </c>
      <c r="E63" s="294">
        <f>'ｼｰﾄNO.4（表-4）60頁'!G68</f>
        <v>38.949999999999996</v>
      </c>
      <c r="F63" s="543">
        <f>'ｼｰﾄNO.4（表-4）60頁'!C68/1000</f>
        <v>0.84799999999999998</v>
      </c>
      <c r="G63" s="543">
        <f>F63/('ｼｰﾄNO.4（表-4）60頁'!D68/3600)</f>
        <v>22.953383458646616</v>
      </c>
      <c r="H63" s="219">
        <f>-2.71095565/G63-0.09453616*G63+0.00089493*G63^2+3.15403637</f>
        <v>1.3375054836994751</v>
      </c>
      <c r="I63" s="620">
        <v>6000</v>
      </c>
      <c r="J63" s="99">
        <f t="shared" ref="J63" si="104">C63*E63*F63*H63/1000000*I63</f>
        <v>2.3855726407176099</v>
      </c>
      <c r="K63" s="396">
        <f>-0.25063622/G63-0.00657231*G63+0.00005332*G63^2+0.29056757</f>
        <v>0.15688351852819593</v>
      </c>
      <c r="L63" s="620">
        <v>1364600</v>
      </c>
      <c r="M63" s="99">
        <f>C63*E63*F63*K63/1000000*L63</f>
        <v>63.639756844557908</v>
      </c>
      <c r="N63" s="390">
        <f>0.093055673/G63-0.0002682273*G63+0.00000218*G63^2+0.0173678037</f>
        <v>1.6413745392387758E-2</v>
      </c>
      <c r="O63" s="620">
        <v>5506900</v>
      </c>
      <c r="P63" s="99">
        <f>C63*E63*F63*N63/1000000*O63</f>
        <v>26.869569377737179</v>
      </c>
      <c r="Q63" s="390">
        <f>0.0505593958/G63-0.000357176*G63+0.0000031505*G63^2+0.0131649024</f>
        <v>8.8290692910691464E-3</v>
      </c>
      <c r="R63" s="658">
        <v>11025800</v>
      </c>
      <c r="S63" s="375">
        <f t="shared" ref="S63" si="105">C63*E63*F63*Q63/1000000*R63</f>
        <v>28.938156388175919</v>
      </c>
      <c r="T63" s="665"/>
      <c r="U63" s="665"/>
      <c r="V63" s="665"/>
      <c r="W63" s="666"/>
    </row>
    <row r="64" spans="1:23" ht="19.7" customHeight="1">
      <c r="A64" s="571"/>
      <c r="B64" s="542"/>
      <c r="C64" s="566"/>
      <c r="D64" s="139" t="s">
        <v>66</v>
      </c>
      <c r="E64" s="297">
        <f>'ｼｰﾄNO.4（表-4）60頁'!G69</f>
        <v>2.0500000000000003</v>
      </c>
      <c r="F64" s="544"/>
      <c r="G64" s="544"/>
      <c r="H64" s="218">
        <f>12.28697452/G63-0.05907844*G63+0.00051753*G63^2+2.69979197</f>
        <v>2.1517078414008948</v>
      </c>
      <c r="I64" s="621"/>
      <c r="J64" s="221">
        <f t="shared" ref="J64" si="106">C63*E64*F63*H64/1000000*I63</f>
        <v>0.20198856122053105</v>
      </c>
      <c r="K64" s="397">
        <f>9.45345681/G63-0.14325844*G63+0.00124097*G63^2+5.98054622</f>
        <v>3.7579496629585218</v>
      </c>
      <c r="L64" s="621"/>
      <c r="M64" s="221">
        <f>C63*E64*F63*K64/1000000*L63</f>
        <v>80.232171790961246</v>
      </c>
      <c r="N64" s="391">
        <f>0.6037810576/G63-0.0052863845*G63+0.0000423961*G63^2+0.3189943526</f>
        <v>0.24629532334014029</v>
      </c>
      <c r="O64" s="621"/>
      <c r="P64" s="221">
        <f>C63*E64*F63*N64/1000000*O63</f>
        <v>21.220498332642613</v>
      </c>
      <c r="Q64" s="392">
        <f>1.5469182952/G63-0.0051393982*G63+0.0000404677*G63^2+0.2460289003</f>
        <v>0.21677695813225645</v>
      </c>
      <c r="R64" s="659"/>
      <c r="S64" s="221">
        <f t="shared" ref="S64" si="107">C63*E64*F63*Q64/1000000*R63</f>
        <v>37.395164761559123</v>
      </c>
      <c r="T64" s="665"/>
      <c r="U64" s="665"/>
      <c r="V64" s="665"/>
      <c r="W64" s="666"/>
    </row>
    <row r="65" spans="1:23" ht="19.7" customHeight="1">
      <c r="A65" s="571"/>
      <c r="B65" s="540" t="s">
        <v>359</v>
      </c>
      <c r="C65" s="553">
        <f>'ｼｰﾄNO.3（表-3）59頁'!$F$30</f>
        <v>9</v>
      </c>
      <c r="D65" s="138" t="s">
        <v>65</v>
      </c>
      <c r="E65" s="294">
        <f>'ｼｰﾄNO.4（表-4）60頁'!G70</f>
        <v>144.4</v>
      </c>
      <c r="F65" s="543">
        <f>'ｼｰﾄNO.4（表-4）60頁'!C70/1000</f>
        <v>0.91</v>
      </c>
      <c r="G65" s="543">
        <f>F65/('ｼｰﾄNO.4（表-4）60頁'!D70/3600)</f>
        <v>27.3</v>
      </c>
      <c r="H65" s="219">
        <f>-2.71095565/G65-0.09453616*G65+0.00089493*G65^2+3.15403637</f>
        <v>1.1408791769380953</v>
      </c>
      <c r="I65" s="620">
        <v>6000</v>
      </c>
      <c r="J65" s="99">
        <f t="shared" ref="J65" si="108">C65*E65*F65*H65/1000000*I65</f>
        <v>8.0954687177841684</v>
      </c>
      <c r="K65" s="396">
        <f>-0.25063622/G65-0.00657231*G65+0.00005332*G65^2+0.29056757</f>
        <v>0.14170155588058608</v>
      </c>
      <c r="L65" s="620">
        <v>1364600</v>
      </c>
      <c r="M65" s="99">
        <f>C65*E65*F65*K65/1000000*L65</f>
        <v>228.68152554864005</v>
      </c>
      <c r="N65" s="390">
        <f>0.093055673/G65-0.0002682273*G65+0.00000218*G65^2+0.0173678037</f>
        <v>1.5078563320622712E-2</v>
      </c>
      <c r="O65" s="620">
        <v>5506900</v>
      </c>
      <c r="P65" s="99">
        <f>C65*E65*F65*N65/1000000*O65</f>
        <v>98.201528879361419</v>
      </c>
      <c r="Q65" s="390">
        <f>0.0505593958/G65-0.000357176*G65+0.0000031505*G65^2+0.0131649024</f>
        <v>7.6140262651465196E-3</v>
      </c>
      <c r="R65" s="658">
        <v>11025800</v>
      </c>
      <c r="S65" s="394">
        <f t="shared" ref="S65" si="109">C65*E65*F65*Q65/1000000*R65</f>
        <v>99.28315646359161</v>
      </c>
      <c r="T65" s="665"/>
      <c r="U65" s="665"/>
      <c r="V65" s="665"/>
      <c r="W65" s="666"/>
    </row>
    <row r="66" spans="1:23" ht="19.7" customHeight="1">
      <c r="A66" s="571"/>
      <c r="B66" s="542"/>
      <c r="C66" s="566"/>
      <c r="D66" s="139" t="s">
        <v>66</v>
      </c>
      <c r="E66" s="297">
        <f>'ｼｰﾄNO.4（表-4）60頁'!G71</f>
        <v>7.6000000000000005</v>
      </c>
      <c r="F66" s="544"/>
      <c r="G66" s="544"/>
      <c r="H66" s="218">
        <f>12.28697452/G65-0.05907844*G65+0.00051753*G65^2+2.69979197</f>
        <v>1.9227328184399268</v>
      </c>
      <c r="I66" s="621"/>
      <c r="J66" s="221">
        <f t="shared" ref="J66" si="110">C65*E66*F65*H66/1000000*I65</f>
        <v>0.71807148930584885</v>
      </c>
      <c r="K66" s="397">
        <f>9.45345681/G65-0.14325844*G65+0.00124097*G65^2+5.98054622</f>
        <v>3.3407538085307693</v>
      </c>
      <c r="L66" s="621"/>
      <c r="M66" s="221">
        <f>C65*E66*F65*K66/1000000*L65</f>
        <v>283.75748952740503</v>
      </c>
      <c r="N66" s="391">
        <f>0.6037810576/G65-0.0052863845*G65+0.0000423961*G65^2+0.3189943526</f>
        <v>0.22838996737541023</v>
      </c>
      <c r="O66" s="621"/>
      <c r="P66" s="221">
        <f>C65*E66*F65*N66/1000000*O65</f>
        <v>78.285567956624973</v>
      </c>
      <c r="Q66" s="392">
        <f>1.5469182952/G65-0.0051393982*G65+0.0000404677*G65^2+0.2460289003</f>
        <v>0.19254717538984978</v>
      </c>
      <c r="R66" s="659"/>
      <c r="S66" s="393">
        <f t="shared" ref="S66" si="111">C65*E66*F65*Q66/1000000*R65</f>
        <v>132.14318081935605</v>
      </c>
      <c r="T66" s="665"/>
      <c r="U66" s="665"/>
      <c r="V66" s="665"/>
      <c r="W66" s="666"/>
    </row>
    <row r="67" spans="1:23" ht="19.7" customHeight="1">
      <c r="A67" s="571"/>
      <c r="B67" s="540" t="s">
        <v>360</v>
      </c>
      <c r="C67" s="553">
        <f>'ｼｰﾄNO.3（表-3）59頁'!$F$30</f>
        <v>9</v>
      </c>
      <c r="D67" s="138" t="s">
        <v>65</v>
      </c>
      <c r="E67" s="294">
        <f>'ｼｰﾄNO.4（表-4）60頁'!G72</f>
        <v>44.65</v>
      </c>
      <c r="F67" s="543">
        <f>'ｼｰﾄNO.4（表-4）60頁'!C72/1000</f>
        <v>0.76100000000000001</v>
      </c>
      <c r="G67" s="543">
        <f>F67/('ｼｰﾄNO.4（表-4）60頁'!D72/3600)</f>
        <v>21.916799999999999</v>
      </c>
      <c r="H67" s="219">
        <f>-2.71095565/G67-0.09453616*G67+0.00089493*G67^2+3.15403637</f>
        <v>1.3882893722770886</v>
      </c>
      <c r="I67" s="620">
        <v>6000</v>
      </c>
      <c r="J67" s="99">
        <f t="shared" ref="J67" si="112">C67*E67*F67*H67/1000000*I67</f>
        <v>2.5472987286834359</v>
      </c>
      <c r="K67" s="396">
        <f>-0.25063622/G67-0.00657231*G67+0.00005332*G67^2+0.29056757</f>
        <v>0.16069981784537193</v>
      </c>
      <c r="L67" s="620">
        <v>1364600</v>
      </c>
      <c r="M67" s="99">
        <f>C67*E67*F67*K67/1000000*L67</f>
        <v>67.060900497968518</v>
      </c>
      <c r="N67" s="390">
        <f>0.093055673/G67-0.0002682273*G67+0.00000218*G67^2+0.0173678037</f>
        <v>1.6782134548046151E-2</v>
      </c>
      <c r="O67" s="620">
        <v>5506900</v>
      </c>
      <c r="P67" s="99">
        <f>C67*E67*F67*N67/1000000*O67</f>
        <v>28.26200821356132</v>
      </c>
      <c r="Q67" s="390">
        <f>0.0505593958/G67-0.000357176*G67+0.0000031505*G67^2+0.0131649024</f>
        <v>9.1569564511054108E-3</v>
      </c>
      <c r="R67" s="658">
        <v>11025800</v>
      </c>
      <c r="S67" s="375">
        <f t="shared" ref="S67" si="113">C67*E67*F67*Q67/1000000*R67</f>
        <v>30.87520775787122</v>
      </c>
      <c r="T67" s="665"/>
      <c r="U67" s="665"/>
      <c r="V67" s="665"/>
      <c r="W67" s="666"/>
    </row>
    <row r="68" spans="1:23" ht="19.7" customHeight="1">
      <c r="A68" s="571"/>
      <c r="B68" s="542"/>
      <c r="C68" s="566"/>
      <c r="D68" s="139" t="s">
        <v>66</v>
      </c>
      <c r="E68" s="297">
        <f>'ｼｰﾄNO.4（表-4）60頁'!G73</f>
        <v>2.35</v>
      </c>
      <c r="F68" s="544"/>
      <c r="G68" s="544"/>
      <c r="H68" s="218">
        <f>12.28697452/G67-0.05907844*G67+0.00051753*G67^2+2.69979197</f>
        <v>2.2141941457999113</v>
      </c>
      <c r="I68" s="621"/>
      <c r="J68" s="221">
        <f t="shared" ref="J68" si="114">C67*E68*F67*H68/1000000*I67</f>
        <v>0.21382672143462866</v>
      </c>
      <c r="K68" s="397">
        <f>9.45345681/G67-0.14325844*G67+0.00124097*G67^2+5.98054622</f>
        <v>3.8682085778356057</v>
      </c>
      <c r="L68" s="621"/>
      <c r="M68" s="221">
        <f>C67*E68*F67*K68/1000000*L67</f>
        <v>84.959173544050145</v>
      </c>
      <c r="N68" s="391">
        <f>0.6037810576/G67-0.0052863845*G67+0.0000423961*G67^2+0.3189943526</f>
        <v>0.25104730102028711</v>
      </c>
      <c r="O68" s="621"/>
      <c r="P68" s="221">
        <f>C67*E68*F67*N68/1000000*O67</f>
        <v>22.25142226196412</v>
      </c>
      <c r="Q68" s="392">
        <f>1.5469182952/G67-0.0051393982*G67+0.0000404677*G67^2+0.2460289003</f>
        <v>0.22340963456383392</v>
      </c>
      <c r="R68" s="659"/>
      <c r="S68" s="221">
        <f t="shared" ref="S68" si="115">C67*E68*F67*Q68/1000000*R67</f>
        <v>39.646699316008558</v>
      </c>
      <c r="T68" s="665"/>
      <c r="U68" s="665"/>
      <c r="V68" s="665"/>
      <c r="W68" s="666"/>
    </row>
    <row r="69" spans="1:23" ht="19.7" customHeight="1">
      <c r="A69" s="571"/>
      <c r="B69" s="540" t="s">
        <v>232</v>
      </c>
      <c r="C69" s="553">
        <f>'ｼｰﾄNO.3（表-3）59頁'!$F$30</f>
        <v>9</v>
      </c>
      <c r="D69" s="138" t="s">
        <v>65</v>
      </c>
      <c r="E69" s="294">
        <f>'ｼｰﾄNO.4（表-4）60頁'!G74</f>
        <v>158.65</v>
      </c>
      <c r="F69" s="543">
        <f>'ｼｰﾄNO.4（表-4）60頁'!C74/1000</f>
        <v>0.84799999999999998</v>
      </c>
      <c r="G69" s="543">
        <f>F69/('ｼｰﾄNO.4（表-4）60頁'!D74/3600)</f>
        <v>28.530841121495325</v>
      </c>
      <c r="H69" s="219">
        <f>-2.71095565/G69-0.09453616*G69+0.00089493*G69^2+3.15403637</f>
        <v>1.0903027620976071</v>
      </c>
      <c r="I69" s="620">
        <v>6000</v>
      </c>
      <c r="J69" s="99">
        <f t="shared" ref="J69" si="116">C69*E69*F69*H69/1000000*I69</f>
        <v>7.920941408605116</v>
      </c>
      <c r="K69" s="396">
        <f>-0.25063622/G69-0.00657231*G69+0.00005332*G69^2+0.29056757</f>
        <v>0.13767224490879842</v>
      </c>
      <c r="L69" s="620">
        <v>1364600</v>
      </c>
      <c r="M69" s="99">
        <f>C69*E69*F69*K69/1000000*L69</f>
        <v>227.47318014816585</v>
      </c>
      <c r="N69" s="390">
        <f>0.093055673/G69-0.0002682273*G69+0.00000218*G69^2+0.0173678037</f>
        <v>1.4751174440693522E-2</v>
      </c>
      <c r="O69" s="620">
        <v>5506900</v>
      </c>
      <c r="P69" s="99">
        <f>C69*E69*F69*N69/1000000*O69</f>
        <v>98.358574770717183</v>
      </c>
      <c r="Q69" s="390">
        <f>0.0505593958/G69-0.000357176*G69+0.0000031505*G69^2+0.0131649024</f>
        <v>7.3110019389373169E-3</v>
      </c>
      <c r="R69" s="658">
        <v>11025800</v>
      </c>
      <c r="S69" s="394">
        <f t="shared" ref="S69" si="117">C69*E69*F69*Q69/1000000*R69</f>
        <v>97.603512623967106</v>
      </c>
      <c r="T69" s="665"/>
      <c r="U69" s="665"/>
      <c r="V69" s="665"/>
      <c r="W69" s="666"/>
    </row>
    <row r="70" spans="1:23" ht="19.7" customHeight="1">
      <c r="A70" s="571"/>
      <c r="B70" s="542"/>
      <c r="C70" s="566"/>
      <c r="D70" s="139" t="s">
        <v>66</v>
      </c>
      <c r="E70" s="297">
        <f>'ｼｰﾄNO.4（表-4）60頁'!G75</f>
        <v>8.35</v>
      </c>
      <c r="F70" s="544"/>
      <c r="G70" s="544"/>
      <c r="H70" s="218">
        <f>12.28697452/G69-0.05907844*G69+0.00051753*G69^2+2.69979197</f>
        <v>1.8661642891756698</v>
      </c>
      <c r="I70" s="621"/>
      <c r="J70" s="221">
        <f t="shared" ref="J70" si="118">C69*E70*F69*H70/1000000*I69</f>
        <v>0.71355254933493439</v>
      </c>
      <c r="K70" s="397">
        <f>9.45345681/G69-0.14325844*G69+0.00124097*G69^2+5.98054622</f>
        <v>3.2347647269327133</v>
      </c>
      <c r="L70" s="621"/>
      <c r="M70" s="221">
        <f>C69*E70*F69*K70/1000000*L69</f>
        <v>281.30205373446194</v>
      </c>
      <c r="N70" s="391">
        <f>0.6037810576/G69-0.0052863845*G69+0.0000423961*G69^2+0.3189943526</f>
        <v>0.2238425583309559</v>
      </c>
      <c r="O70" s="621"/>
      <c r="P70" s="221">
        <f>C69*E70*F69*N70/1000000*O69</f>
        <v>78.55515468841125</v>
      </c>
      <c r="Q70" s="392">
        <f>1.5469182952/G69-0.0051393982*G69+0.0000404677*G69^2+0.2460289003</f>
        <v>0.18655777650517016</v>
      </c>
      <c r="R70" s="659"/>
      <c r="S70" s="393">
        <f t="shared" ref="S70" si="119">C69*E70*F69*Q70/1000000*R69</f>
        <v>131.08358324606348</v>
      </c>
      <c r="T70" s="665"/>
      <c r="U70" s="665"/>
      <c r="V70" s="665"/>
      <c r="W70" s="666"/>
    </row>
    <row r="71" spans="1:23" ht="19.7" customHeight="1">
      <c r="A71" s="571"/>
      <c r="B71" s="540" t="s">
        <v>233</v>
      </c>
      <c r="C71" s="553">
        <f>'ｼｰﾄNO.3（表-3）59頁'!$F$30</f>
        <v>9</v>
      </c>
      <c r="D71" s="138" t="s">
        <v>65</v>
      </c>
      <c r="E71" s="294">
        <f>'ｼｰﾄNO.4（表-4）60頁'!G76</f>
        <v>747.65</v>
      </c>
      <c r="F71" s="543">
        <f>'ｼｰﾄNO.4（表-4）60頁'!C76/1000</f>
        <v>0.61699999999999999</v>
      </c>
      <c r="G71" s="543">
        <f>F71/('ｼｰﾄNO.4（表-4）60頁'!D76/3600)</f>
        <v>26.131764705882354</v>
      </c>
      <c r="H71" s="219">
        <f>-2.71095565/G71-0.09453616*G71+0.00089493*G71^2+3.15403637</f>
        <v>1.1910179733605875</v>
      </c>
      <c r="I71" s="620">
        <v>6000</v>
      </c>
      <c r="J71" s="99">
        <f t="shared" ref="J71" si="120">C71*E71*F71*H71/1000000*I71</f>
        <v>29.668499135755429</v>
      </c>
      <c r="K71" s="396">
        <f>-0.25063622/G71-0.00657231*G71+0.00005332*G71^2+0.29056757</f>
        <v>0.14564084594972018</v>
      </c>
      <c r="L71" s="620">
        <v>1364600</v>
      </c>
      <c r="M71" s="99">
        <f>C71*E71*F71*K71/1000000*L71</f>
        <v>825.11516827032608</v>
      </c>
      <c r="N71" s="390">
        <f>0.093055673/G71-0.0002682273*G71+0.00000218*G71^2+0.0173678037</f>
        <v>1.5408223265116677E-2</v>
      </c>
      <c r="O71" s="620">
        <v>5506900</v>
      </c>
      <c r="P71" s="99">
        <f>C71*E71*F71*N71/1000000*O71</f>
        <v>352.27819630866753</v>
      </c>
      <c r="Q71" s="390">
        <f>0.0505593958/G71-0.000357176*G71+0.0000031505*G71^2+0.0131649024</f>
        <v>7.917429284222427E-3</v>
      </c>
      <c r="R71" s="658">
        <v>11025800</v>
      </c>
      <c r="S71" s="375">
        <f t="shared" ref="S71" si="121">C71*E71*F71*Q71/1000000*R71</f>
        <v>362.42680844747508</v>
      </c>
      <c r="T71" s="665"/>
      <c r="U71" s="665"/>
      <c r="V71" s="665"/>
      <c r="W71" s="666"/>
    </row>
    <row r="72" spans="1:23" ht="19.7" customHeight="1">
      <c r="A72" s="571"/>
      <c r="B72" s="542"/>
      <c r="C72" s="566"/>
      <c r="D72" s="139" t="s">
        <v>66</v>
      </c>
      <c r="E72" s="297">
        <f>'ｼｰﾄNO.4（表-4）60頁'!G77</f>
        <v>39.35</v>
      </c>
      <c r="F72" s="544"/>
      <c r="G72" s="544"/>
      <c r="H72" s="218">
        <f>12.28697452/G71-0.05907844*G71+0.00051753*G71^2+2.69979197</f>
        <v>1.9795664000408051</v>
      </c>
      <c r="I72" s="621"/>
      <c r="J72" s="221">
        <f t="shared" ref="J72" si="122">C71*E72*F71*H72/1000000*I71</f>
        <v>2.5953368570066182</v>
      </c>
      <c r="K72" s="397">
        <f>9.45345681/G71-0.14325844*G71+0.00124097*G71^2+5.98054622</f>
        <v>3.4461316069828696</v>
      </c>
      <c r="L72" s="621"/>
      <c r="M72" s="221">
        <f>C71*E72*F71*K72/1000000*L71</f>
        <v>1027.5657875462718</v>
      </c>
      <c r="N72" s="391">
        <f>0.6037810576/G71-0.0052863845*G71+0.0000423961*G71^2+0.3189943526</f>
        <v>0.23290803835125132</v>
      </c>
      <c r="O72" s="621"/>
      <c r="P72" s="221">
        <f>C71*E72*F71*N72/1000000*O71</f>
        <v>280.26191033610252</v>
      </c>
      <c r="Q72" s="392">
        <f>1.5469182952/G71-0.0051393982*G71+0.0000404677*G71^2+0.2460289003</f>
        <v>0.19855835410889849</v>
      </c>
      <c r="R72" s="659"/>
      <c r="S72" s="221">
        <f t="shared" ref="S72" si="123">C71*E72*F71*Q72/1000000*R71</f>
        <v>478.3774338529484</v>
      </c>
      <c r="T72" s="665"/>
      <c r="U72" s="665"/>
      <c r="V72" s="665"/>
      <c r="W72" s="666"/>
    </row>
    <row r="73" spans="1:23" ht="19.7" customHeight="1">
      <c r="A73" s="571"/>
      <c r="B73" s="540" t="s">
        <v>255</v>
      </c>
      <c r="C73" s="553">
        <f>'ｼｰﾄNO.3（表-3）59頁'!$F$30</f>
        <v>9</v>
      </c>
      <c r="D73" s="138" t="s">
        <v>65</v>
      </c>
      <c r="E73" s="294">
        <f>'ｼｰﾄNO.4（表-4）60頁'!G78</f>
        <v>133</v>
      </c>
      <c r="F73" s="543">
        <f>'ｼｰﾄNO.4（表-4）60頁'!C78/1000</f>
        <v>0.82399999999999995</v>
      </c>
      <c r="G73" s="543">
        <f>F73/('ｼｰﾄNO.4（表-4）60頁'!D78/3600)</f>
        <v>27.984905660377358</v>
      </c>
      <c r="H73" s="219">
        <f>-2.71095565/G73-0.09453616*G73+0.00089493*G73^2+3.15403637</f>
        <v>1.1124476388923368</v>
      </c>
      <c r="I73" s="620">
        <v>6000</v>
      </c>
      <c r="J73" s="99">
        <f t="shared" ref="J73" si="124">C73*E73*F73*H73/1000000*I73</f>
        <v>6.5834295286404041</v>
      </c>
      <c r="K73" s="396">
        <f>-0.25063622/G73-0.00657231*G73+0.00005332*G73^2+0.29056757</f>
        <v>0.13944379466769591</v>
      </c>
      <c r="L73" s="620">
        <v>1364600</v>
      </c>
      <c r="M73" s="99">
        <f>C73*E73*F73*K73/1000000*L73</f>
        <v>187.68342565341106</v>
      </c>
      <c r="N73" s="390">
        <f>0.093055673/G73-0.0002682273*G73+0.00000218*G73^2+0.0173678037</f>
        <v>1.4893975252273366E-2</v>
      </c>
      <c r="O73" s="620">
        <v>5506900</v>
      </c>
      <c r="P73" s="99">
        <f>C73*E73*F73*N73/1000000*O73</f>
        <v>80.898259903709658</v>
      </c>
      <c r="Q73" s="390">
        <f>0.0505593958/G73-0.000357176*G73+0.0000031505*G73^2+0.0131649024</f>
        <v>7.4433620409345026E-3</v>
      </c>
      <c r="R73" s="658">
        <v>11025800</v>
      </c>
      <c r="S73" s="394">
        <f t="shared" ref="S73" si="125">C73*E73*F73*Q73/1000000*R73</f>
        <v>80.946973533213168</v>
      </c>
      <c r="T73" s="665"/>
      <c r="U73" s="665"/>
      <c r="V73" s="665"/>
      <c r="W73" s="666"/>
    </row>
    <row r="74" spans="1:23" ht="19.7" customHeight="1">
      <c r="A74" s="571"/>
      <c r="B74" s="542"/>
      <c r="C74" s="566"/>
      <c r="D74" s="139" t="s">
        <v>66</v>
      </c>
      <c r="E74" s="297">
        <f>'ｼｰﾄNO.4（表-4）60頁'!G79</f>
        <v>7</v>
      </c>
      <c r="F74" s="544"/>
      <c r="G74" s="544"/>
      <c r="H74" s="218">
        <f>12.28697452/G73-0.05907844*G73+0.00051753*G73^2+2.69979197</f>
        <v>1.890850785723317</v>
      </c>
      <c r="I74" s="621"/>
      <c r="J74" s="221">
        <f t="shared" ref="J74" si="126">C73*E74*F73*H74/1000000*I73</f>
        <v>0.58894707593081308</v>
      </c>
      <c r="K74" s="397">
        <f>9.45345681/G73-0.14325844*G73+0.00124097*G73^2+5.98054622</f>
        <v>3.2811496463454768</v>
      </c>
      <c r="L74" s="621"/>
      <c r="M74" s="221">
        <f>C73*E74*F73*K74/1000000*L73</f>
        <v>232.43373778590649</v>
      </c>
      <c r="N74" s="391">
        <f>0.6037810576/G73-0.0052863845*G73+0.0000423961*G73^2+0.3189943526</f>
        <v>0.22583333649628506</v>
      </c>
      <c r="O74" s="621"/>
      <c r="P74" s="221">
        <f>C73*E74*F73*N74/1000000*O73</f>
        <v>64.559922778206271</v>
      </c>
      <c r="Q74" s="392">
        <f>1.5469182952/G73-0.0051393982*G73+0.0000404677*G73^2+0.2460289003</f>
        <v>0.18917268671140638</v>
      </c>
      <c r="R74" s="659"/>
      <c r="S74" s="393">
        <f t="shared" ref="S74" si="127">C73*E74*F73*Q74/1000000*R73</f>
        <v>108.27702221701192</v>
      </c>
      <c r="T74" s="665"/>
      <c r="U74" s="665"/>
      <c r="V74" s="665"/>
      <c r="W74" s="666"/>
    </row>
    <row r="75" spans="1:23" ht="19.7" customHeight="1">
      <c r="A75" s="571"/>
      <c r="B75" s="540" t="s">
        <v>362</v>
      </c>
      <c r="C75" s="553">
        <f>'ｼｰﾄNO.3（表-3）59頁'!$F$30</f>
        <v>9</v>
      </c>
      <c r="D75" s="138" t="s">
        <v>65</v>
      </c>
      <c r="E75" s="294">
        <f>'ｼｰﾄNO.4（表-4）60頁'!G80</f>
        <v>42.75</v>
      </c>
      <c r="F75" s="543">
        <f>'ｼｰﾄNO.4（表-4）60頁'!C80/1000</f>
        <v>0.91</v>
      </c>
      <c r="G75" s="543">
        <f>F75/('ｼｰﾄNO.4（表-4）60頁'!D80/3600)</f>
        <v>25.395348837209301</v>
      </c>
      <c r="H75" s="219">
        <f>-2.71095565/G75-0.09453616*G75+0.00089493*G75^2+3.15403637</f>
        <v>1.2236691288831159</v>
      </c>
      <c r="I75" s="620">
        <v>6000</v>
      </c>
      <c r="J75" s="99">
        <f t="shared" ref="J75" si="128">C75*E75*F75*H75/1000000*I75</f>
        <v>2.5706045674642723</v>
      </c>
      <c r="K75" s="396">
        <f>-0.25063622/G75-0.00657231*G75+0.00005332*G75^2+0.29056757</f>
        <v>0.14817942387383937</v>
      </c>
      <c r="L75" s="620">
        <v>1364600</v>
      </c>
      <c r="M75" s="99">
        <f>C75*E75*F75*K75/1000000*L75</f>
        <v>70.796744827507155</v>
      </c>
      <c r="N75" s="390">
        <f>0.093055673/G75-0.0002682273*G75+0.00000218*G75^2+0.0173678037</f>
        <v>1.5626291771545158E-2</v>
      </c>
      <c r="O75" s="620">
        <v>5506900</v>
      </c>
      <c r="P75" s="99">
        <f>C75*E75*F75*N75/1000000*O75</f>
        <v>30.128890577056911</v>
      </c>
      <c r="Q75" s="390">
        <f>0.0505593958/G75-0.000357176*G75+0.0000031505*G75^2+0.0131649024</f>
        <v>8.1170174938248948E-3</v>
      </c>
      <c r="R75" s="658">
        <v>11025800</v>
      </c>
      <c r="S75" s="375">
        <f t="shared" ref="S75" si="129">C75*E75*F75*Q75/1000000*R75</f>
        <v>31.334777354101806</v>
      </c>
      <c r="T75" s="665"/>
      <c r="U75" s="665"/>
      <c r="V75" s="665"/>
      <c r="W75" s="666"/>
    </row>
    <row r="76" spans="1:23" ht="19.7" customHeight="1">
      <c r="A76" s="571"/>
      <c r="B76" s="542"/>
      <c r="C76" s="566"/>
      <c r="D76" s="139" t="s">
        <v>66</v>
      </c>
      <c r="E76" s="297">
        <f>'ｼｰﾄNO.4（表-4）60頁'!G81</f>
        <v>2.25</v>
      </c>
      <c r="F76" s="544"/>
      <c r="G76" s="544"/>
      <c r="H76" s="218">
        <f>12.28697452/G75-0.05907844*G75+0.00051753*G75^2+2.69979197</f>
        <v>2.0170695131761947</v>
      </c>
      <c r="I76" s="621"/>
      <c r="J76" s="221">
        <f t="shared" ref="J76" si="130">C75*E76*F75*H76/1000000*I75</f>
        <v>0.22301729072432599</v>
      </c>
      <c r="K76" s="397">
        <f>9.45345681/G75-0.14325844*G75+0.00124097*G75^2+5.98054622</f>
        <v>3.515030683557745</v>
      </c>
      <c r="L76" s="621"/>
      <c r="M76" s="221">
        <f>C75*E76*F75*K76/1000000*L75</f>
        <v>88.389546821351885</v>
      </c>
      <c r="N76" s="391">
        <f>0.6037810576/G75-0.0052863845*G75+0.0000423961*G75^2+0.3189943526</f>
        <v>0.23586228704262319</v>
      </c>
      <c r="O76" s="621"/>
      <c r="P76" s="221">
        <f>C75*E76*F75*N76/1000000*O75</f>
        <v>23.934927450460567</v>
      </c>
      <c r="Q76" s="392">
        <f>1.5469182952/G75-0.0051393982*G75+0.0000404677*G75^2+0.2460289003</f>
        <v>0.20252412008772686</v>
      </c>
      <c r="R76" s="659"/>
      <c r="S76" s="221">
        <f t="shared" ref="S76" si="131">C75*E76*F75*Q76/1000000*R75</f>
        <v>41.148431393233707</v>
      </c>
      <c r="T76" s="665"/>
      <c r="U76" s="665"/>
      <c r="V76" s="665"/>
      <c r="W76" s="666"/>
    </row>
    <row r="77" spans="1:23" ht="19.7" customHeight="1">
      <c r="A77" s="571"/>
      <c r="B77" s="540" t="s">
        <v>236</v>
      </c>
      <c r="C77" s="553">
        <f>'ｼｰﾄNO.3（表-3）59頁'!$F$30</f>
        <v>9</v>
      </c>
      <c r="D77" s="138" t="s">
        <v>65</v>
      </c>
      <c r="E77" s="294">
        <f>'ｼｰﾄNO.4（表-4）60頁'!G82</f>
        <v>752.4</v>
      </c>
      <c r="F77" s="543">
        <f>'ｼｰﾄNO.4（表-4）60頁'!C82/1000</f>
        <v>0.61699999999999999</v>
      </c>
      <c r="G77" s="543">
        <f>F77/('ｼｰﾄNO.4（表-4）60頁'!D82/3600)</f>
        <v>26.76144578313253</v>
      </c>
      <c r="H77" s="219">
        <f>-2.71095565/G77-0.09453616*G77+0.00089493*G77^2+3.15403637</f>
        <v>1.1637377329352296</v>
      </c>
      <c r="I77" s="620">
        <v>6000</v>
      </c>
      <c r="J77" s="99">
        <f t="shared" ref="J77" si="132">C77*E77*F77*H77/1000000*I77</f>
        <v>29.173116532538227</v>
      </c>
      <c r="K77" s="396">
        <f>-0.25063622/G77-0.00657231*G77+0.00005332*G77^2+0.29056757</f>
        <v>0.14350393124052649</v>
      </c>
      <c r="L77" s="620">
        <v>1364600</v>
      </c>
      <c r="M77" s="99">
        <f>C77*E77*F77*K77/1000000*L77</f>
        <v>818.17390870276097</v>
      </c>
      <c r="N77" s="390">
        <f>0.093055673/G77-0.0002682273*G77+0.00000218*G77^2+0.0173678037</f>
        <v>1.5228143722623148E-2</v>
      </c>
      <c r="O77" s="620">
        <v>5506900</v>
      </c>
      <c r="P77" s="99">
        <f>C77*E77*F77*N77/1000000*O77</f>
        <v>350.37298855657406</v>
      </c>
      <c r="Q77" s="390">
        <f>0.0505593958/G77-0.000357176*G77+0.0000031505*G77^2+0.0131649024</f>
        <v>7.7519280106023965E-3</v>
      </c>
      <c r="R77" s="658">
        <v>11025800</v>
      </c>
      <c r="S77" s="394">
        <f t="shared" ref="S77" si="133">C77*E77*F77*Q77/1000000*R77</f>
        <v>357.10530481340169</v>
      </c>
      <c r="T77" s="665"/>
      <c r="U77" s="665"/>
      <c r="V77" s="665"/>
      <c r="W77" s="666"/>
    </row>
    <row r="78" spans="1:23" ht="19.7" customHeight="1">
      <c r="A78" s="572"/>
      <c r="B78" s="542"/>
      <c r="C78" s="566"/>
      <c r="D78" s="139" t="s">
        <v>66</v>
      </c>
      <c r="E78" s="297">
        <f>'ｼｰﾄNO.4（表-4）60頁'!G83</f>
        <v>39.6</v>
      </c>
      <c r="F78" s="544"/>
      <c r="G78" s="544"/>
      <c r="H78" s="218">
        <f>12.28697452/G77-0.05907844*G77+0.00051753*G77^2+2.69979197</f>
        <v>1.9485392365792691</v>
      </c>
      <c r="I78" s="621"/>
      <c r="J78" s="221">
        <f t="shared" ref="J78" si="134">C77*E78*F77*H78/1000000*I77</f>
        <v>2.5708886392601844</v>
      </c>
      <c r="K78" s="397">
        <f>9.45345681/G77-0.14325844*G77+0.00124097*G77^2+5.98054622</f>
        <v>3.3887440168377028</v>
      </c>
      <c r="L78" s="621"/>
      <c r="M78" s="221">
        <f>C77*E78*F77*K78/1000000*L77</f>
        <v>1016.8736416382404</v>
      </c>
      <c r="N78" s="391">
        <f>0.6037810576/G77-0.0052863845*G77+0.0000423961*G77^2+0.3189943526</f>
        <v>0.23044768733888976</v>
      </c>
      <c r="O78" s="621"/>
      <c r="P78" s="221">
        <f>C77*E78*F77*N78/1000000*O77</f>
        <v>279.06309316965314</v>
      </c>
      <c r="Q78" s="391">
        <f>1.5469182952/G77-0.0051393982*G77+0.0000404677*G77^2+0.2460289003</f>
        <v>0.19527711642752121</v>
      </c>
      <c r="R78" s="659"/>
      <c r="S78" s="100">
        <f t="shared" ref="S78" si="135">C77*E78*F77*Q78/1000000*R77</f>
        <v>473.46112232069703</v>
      </c>
      <c r="T78" s="617"/>
      <c r="U78" s="617"/>
      <c r="V78" s="617"/>
      <c r="W78" s="667"/>
    </row>
    <row r="79" spans="1:23" ht="19.7" customHeight="1"/>
    <row r="80" spans="1:23" ht="19.7" customHeight="1"/>
    <row r="81" ht="19.7" customHeight="1"/>
  </sheetData>
  <mergeCells count="309">
    <mergeCell ref="F11:F12"/>
    <mergeCell ref="G11:G12"/>
    <mergeCell ref="I11:I12"/>
    <mergeCell ref="F25:F26"/>
    <mergeCell ref="G25:G26"/>
    <mergeCell ref="F21:F22"/>
    <mergeCell ref="G21:G22"/>
    <mergeCell ref="I21:I22"/>
    <mergeCell ref="B29:B30"/>
    <mergeCell ref="C29:C30"/>
    <mergeCell ref="F29:F30"/>
    <mergeCell ref="G29:G30"/>
    <mergeCell ref="I29:I30"/>
    <mergeCell ref="B21:B22"/>
    <mergeCell ref="C21:C22"/>
    <mergeCell ref="B15:B16"/>
    <mergeCell ref="C15:C16"/>
    <mergeCell ref="F15:F16"/>
    <mergeCell ref="G15:G16"/>
    <mergeCell ref="B11:B12"/>
    <mergeCell ref="C11:C12"/>
    <mergeCell ref="G13:G14"/>
    <mergeCell ref="B25:B26"/>
    <mergeCell ref="I15:I16"/>
    <mergeCell ref="B17:B18"/>
    <mergeCell ref="C17:C18"/>
    <mergeCell ref="F17:F18"/>
    <mergeCell ref="G17:G18"/>
    <mergeCell ref="I17:I18"/>
    <mergeCell ref="C25:C26"/>
    <mergeCell ref="I43:I44"/>
    <mergeCell ref="B37:B38"/>
    <mergeCell ref="B39:B40"/>
    <mergeCell ref="C39:C40"/>
    <mergeCell ref="F39:F40"/>
    <mergeCell ref="G39:G40"/>
    <mergeCell ref="I39:I40"/>
    <mergeCell ref="C37:C38"/>
    <mergeCell ref="F37:F38"/>
    <mergeCell ref="G37:G38"/>
    <mergeCell ref="I37:I38"/>
    <mergeCell ref="B41:B42"/>
    <mergeCell ref="C41:C42"/>
    <mergeCell ref="B43:B44"/>
    <mergeCell ref="C43:C44"/>
    <mergeCell ref="F43:F44"/>
    <mergeCell ref="G43:G44"/>
    <mergeCell ref="V31:V54"/>
    <mergeCell ref="I51:I52"/>
    <mergeCell ref="L47:L48"/>
    <mergeCell ref="O47:O48"/>
    <mergeCell ref="T7:T30"/>
    <mergeCell ref="U7:U30"/>
    <mergeCell ref="F7:F8"/>
    <mergeCell ref="G7:G8"/>
    <mergeCell ref="I7:I8"/>
    <mergeCell ref="L7:L8"/>
    <mergeCell ref="O7:O8"/>
    <mergeCell ref="O23:O24"/>
    <mergeCell ref="F49:F50"/>
    <mergeCell ref="G49:G50"/>
    <mergeCell ref="I49:I50"/>
    <mergeCell ref="O31:O32"/>
    <mergeCell ref="T31:T54"/>
    <mergeCell ref="L33:L34"/>
    <mergeCell ref="L49:L50"/>
    <mergeCell ref="O49:O50"/>
    <mergeCell ref="L51:L52"/>
    <mergeCell ref="G9:G10"/>
    <mergeCell ref="I9:I10"/>
    <mergeCell ref="F47:F48"/>
    <mergeCell ref="V55:V78"/>
    <mergeCell ref="G61:G62"/>
    <mergeCell ref="I61:I62"/>
    <mergeCell ref="L61:L62"/>
    <mergeCell ref="O61:O62"/>
    <mergeCell ref="L71:L72"/>
    <mergeCell ref="O71:O72"/>
    <mergeCell ref="G75:G76"/>
    <mergeCell ref="I75:I76"/>
    <mergeCell ref="L75:L76"/>
    <mergeCell ref="O75:O76"/>
    <mergeCell ref="O73:O74"/>
    <mergeCell ref="L73:L74"/>
    <mergeCell ref="O63:O64"/>
    <mergeCell ref="O65:O66"/>
    <mergeCell ref="O67:O68"/>
    <mergeCell ref="R67:R68"/>
    <mergeCell ref="R69:R70"/>
    <mergeCell ref="R71:R72"/>
    <mergeCell ref="G77:G78"/>
    <mergeCell ref="I77:I78"/>
    <mergeCell ref="L77:L78"/>
    <mergeCell ref="O77:O78"/>
    <mergeCell ref="O55:O56"/>
    <mergeCell ref="T55:T78"/>
    <mergeCell ref="U55:U78"/>
    <mergeCell ref="U31:U54"/>
    <mergeCell ref="B47:B48"/>
    <mergeCell ref="C47:C48"/>
    <mergeCell ref="G47:G48"/>
    <mergeCell ref="I47:I48"/>
    <mergeCell ref="O33:O34"/>
    <mergeCell ref="L35:L36"/>
    <mergeCell ref="O35:O36"/>
    <mergeCell ref="L39:L40"/>
    <mergeCell ref="O39:O40"/>
    <mergeCell ref="L37:L38"/>
    <mergeCell ref="O37:O38"/>
    <mergeCell ref="B77:B78"/>
    <mergeCell ref="C77:C78"/>
    <mergeCell ref="F77:F78"/>
    <mergeCell ref="L31:L32"/>
    <mergeCell ref="L41:L42"/>
    <mergeCell ref="O41:O42"/>
    <mergeCell ref="L43:L44"/>
    <mergeCell ref="O43:O44"/>
    <mergeCell ref="B45:B46"/>
    <mergeCell ref="C45:C46"/>
    <mergeCell ref="W7:W78"/>
    <mergeCell ref="B57:B58"/>
    <mergeCell ref="C57:C58"/>
    <mergeCell ref="F57:F58"/>
    <mergeCell ref="G57:G58"/>
    <mergeCell ref="I57:I58"/>
    <mergeCell ref="L57:L58"/>
    <mergeCell ref="O57:O58"/>
    <mergeCell ref="B59:B60"/>
    <mergeCell ref="C59:C60"/>
    <mergeCell ref="L17:L18"/>
    <mergeCell ref="O17:O18"/>
    <mergeCell ref="B19:B20"/>
    <mergeCell ref="C19:C20"/>
    <mergeCell ref="F19:F20"/>
    <mergeCell ref="G19:G20"/>
    <mergeCell ref="V7:V30"/>
    <mergeCell ref="L63:L64"/>
    <mergeCell ref="B49:B50"/>
    <mergeCell ref="C49:C50"/>
    <mergeCell ref="O59:O60"/>
    <mergeCell ref="B61:B62"/>
    <mergeCell ref="C61:C62"/>
    <mergeCell ref="F61:F62"/>
    <mergeCell ref="D3:E3"/>
    <mergeCell ref="A6:B6"/>
    <mergeCell ref="A55:A78"/>
    <mergeCell ref="B55:B56"/>
    <mergeCell ref="C55:C56"/>
    <mergeCell ref="F55:F56"/>
    <mergeCell ref="G55:G56"/>
    <mergeCell ref="I55:I56"/>
    <mergeCell ref="L55:L56"/>
    <mergeCell ref="D4:E4"/>
    <mergeCell ref="D5:E5"/>
    <mergeCell ref="D6:E6"/>
    <mergeCell ref="B73:B74"/>
    <mergeCell ref="C73:C74"/>
    <mergeCell ref="F73:F74"/>
    <mergeCell ref="G73:G74"/>
    <mergeCell ref="I73:I74"/>
    <mergeCell ref="I71:I72"/>
    <mergeCell ref="I59:I60"/>
    <mergeCell ref="L59:L60"/>
    <mergeCell ref="B65:B66"/>
    <mergeCell ref="C65:C66"/>
    <mergeCell ref="B63:B64"/>
    <mergeCell ref="C63:C64"/>
    <mergeCell ref="A31:A54"/>
    <mergeCell ref="B31:B32"/>
    <mergeCell ref="C31:C32"/>
    <mergeCell ref="F31:F32"/>
    <mergeCell ref="G31:G32"/>
    <mergeCell ref="I31:I32"/>
    <mergeCell ref="B33:B34"/>
    <mergeCell ref="C33:C34"/>
    <mergeCell ref="F33:F34"/>
    <mergeCell ref="G33:G34"/>
    <mergeCell ref="I33:I34"/>
    <mergeCell ref="B35:B36"/>
    <mergeCell ref="C35:C36"/>
    <mergeCell ref="F35:F36"/>
    <mergeCell ref="G35:G36"/>
    <mergeCell ref="I35:I36"/>
    <mergeCell ref="F45:F46"/>
    <mergeCell ref="G45:G46"/>
    <mergeCell ref="I45:I46"/>
    <mergeCell ref="B69:B70"/>
    <mergeCell ref="F63:F64"/>
    <mergeCell ref="G63:G64"/>
    <mergeCell ref="I63:I64"/>
    <mergeCell ref="F41:F42"/>
    <mergeCell ref="G41:G42"/>
    <mergeCell ref="I41:I42"/>
    <mergeCell ref="B75:B76"/>
    <mergeCell ref="C75:C76"/>
    <mergeCell ref="F75:F76"/>
    <mergeCell ref="B71:B72"/>
    <mergeCell ref="C71:C72"/>
    <mergeCell ref="F71:F72"/>
    <mergeCell ref="G71:G72"/>
    <mergeCell ref="B67:B68"/>
    <mergeCell ref="F65:F66"/>
    <mergeCell ref="G65:G66"/>
    <mergeCell ref="I65:I66"/>
    <mergeCell ref="L21:L22"/>
    <mergeCell ref="O21:O22"/>
    <mergeCell ref="C69:C70"/>
    <mergeCell ref="F69:F70"/>
    <mergeCell ref="G69:G70"/>
    <mergeCell ref="I69:I70"/>
    <mergeCell ref="F59:F60"/>
    <mergeCell ref="G59:G60"/>
    <mergeCell ref="C51:C52"/>
    <mergeCell ref="F51:F52"/>
    <mergeCell ref="G51:G52"/>
    <mergeCell ref="C67:C68"/>
    <mergeCell ref="F67:F68"/>
    <mergeCell ref="G67:G68"/>
    <mergeCell ref="I67:I68"/>
    <mergeCell ref="L67:L68"/>
    <mergeCell ref="L69:L70"/>
    <mergeCell ref="O69:O70"/>
    <mergeCell ref="L65:L66"/>
    <mergeCell ref="L45:L46"/>
    <mergeCell ref="O45:O46"/>
    <mergeCell ref="L9:L10"/>
    <mergeCell ref="O9:O10"/>
    <mergeCell ref="L11:L12"/>
    <mergeCell ref="O11:O12"/>
    <mergeCell ref="L15:L16"/>
    <mergeCell ref="I19:I20"/>
    <mergeCell ref="L19:L20"/>
    <mergeCell ref="O19:O20"/>
    <mergeCell ref="O15:O16"/>
    <mergeCell ref="I13:I14"/>
    <mergeCell ref="L13:L14"/>
    <mergeCell ref="O13:O14"/>
    <mergeCell ref="R49:R50"/>
    <mergeCell ref="R51:R52"/>
    <mergeCell ref="R53:R54"/>
    <mergeCell ref="L29:L30"/>
    <mergeCell ref="O29:O30"/>
    <mergeCell ref="I25:I26"/>
    <mergeCell ref="L25:L26"/>
    <mergeCell ref="O25:O26"/>
    <mergeCell ref="B27:B28"/>
    <mergeCell ref="C27:C28"/>
    <mergeCell ref="F27:F28"/>
    <mergeCell ref="G27:G28"/>
    <mergeCell ref="I27:I28"/>
    <mergeCell ref="L27:L28"/>
    <mergeCell ref="O27:O28"/>
    <mergeCell ref="O51:O52"/>
    <mergeCell ref="B53:B54"/>
    <mergeCell ref="C53:C54"/>
    <mergeCell ref="F53:F54"/>
    <mergeCell ref="G53:G54"/>
    <mergeCell ref="I53:I54"/>
    <mergeCell ref="L53:L54"/>
    <mergeCell ref="O53:O54"/>
    <mergeCell ref="B51:B52"/>
    <mergeCell ref="R7:R8"/>
    <mergeCell ref="R9:R10"/>
    <mergeCell ref="R11:R12"/>
    <mergeCell ref="B3:B5"/>
    <mergeCell ref="A3:A5"/>
    <mergeCell ref="W3:W6"/>
    <mergeCell ref="R13:R14"/>
    <mergeCell ref="R15:R16"/>
    <mergeCell ref="R17:R18"/>
    <mergeCell ref="A7:A30"/>
    <mergeCell ref="B7:B8"/>
    <mergeCell ref="C7:C8"/>
    <mergeCell ref="B23:B24"/>
    <mergeCell ref="C23:C24"/>
    <mergeCell ref="F23:F24"/>
    <mergeCell ref="G23:G24"/>
    <mergeCell ref="I23:I24"/>
    <mergeCell ref="L23:L24"/>
    <mergeCell ref="B13:B14"/>
    <mergeCell ref="C13:C14"/>
    <mergeCell ref="F13:F14"/>
    <mergeCell ref="B9:B10"/>
    <mergeCell ref="C9:C10"/>
    <mergeCell ref="F9:F10"/>
    <mergeCell ref="R19:R20"/>
    <mergeCell ref="R21:R22"/>
    <mergeCell ref="R23:R24"/>
    <mergeCell ref="R73:R74"/>
    <mergeCell ref="R75:R76"/>
    <mergeCell ref="R77:R78"/>
    <mergeCell ref="R31:R32"/>
    <mergeCell ref="R33:R34"/>
    <mergeCell ref="R35:R36"/>
    <mergeCell ref="R37:R38"/>
    <mergeCell ref="R39:R40"/>
    <mergeCell ref="R41:R42"/>
    <mergeCell ref="R55:R56"/>
    <mergeCell ref="R57:R58"/>
    <mergeCell ref="R59:R60"/>
    <mergeCell ref="R61:R62"/>
    <mergeCell ref="R63:R64"/>
    <mergeCell ref="R65:R66"/>
    <mergeCell ref="R25:R26"/>
    <mergeCell ref="R27:R28"/>
    <mergeCell ref="R29:R30"/>
    <mergeCell ref="R43:R44"/>
    <mergeCell ref="R45:R46"/>
    <mergeCell ref="R47:R48"/>
  </mergeCells>
  <phoneticPr fontId="3"/>
  <pageMargins left="0.51181102362204722" right="0.31496062992125984" top="0.74803149606299213" bottom="0.74803149606299213" header="0.31496062992125984" footer="0.31496062992125984"/>
  <pageSetup paperSize="8" scale="51" orientation="portrait" r:id="rId1"/>
  <headerFooter>
    <oddHeader xml:space="preserve">&amp;C&amp;"ＭＳ 明朝,太字"&amp;20 
</oddHeader>
  </headerFooter>
  <ignoredErrors>
    <ignoredError sqref="H79:S83 O31:P54 L31:M54 S31:S54 I31:J54 H7:S30 H55:S78 H31:H54 K31:K54 N31:N54 Q31:R54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zoomScale="70" zoomScaleNormal="70" workbookViewId="0">
      <selection activeCell="X1" sqref="X1"/>
    </sheetView>
  </sheetViews>
  <sheetFormatPr defaultColWidth="8.875" defaultRowHeight="13.5"/>
  <cols>
    <col min="1" max="1" width="13.625" style="140" customWidth="1"/>
    <col min="2" max="2" width="8" style="140" customWidth="1"/>
    <col min="3" max="3" width="9.125" style="140" customWidth="1"/>
    <col min="4" max="5" width="6.125" style="140" customWidth="1"/>
    <col min="6" max="6" width="8.625" style="140" customWidth="1"/>
    <col min="7" max="7" width="8.375" style="140" customWidth="1"/>
    <col min="8" max="8" width="9.75" style="140" customWidth="1"/>
    <col min="9" max="9" width="13.625" style="140" customWidth="1"/>
    <col min="10" max="10" width="16.75" style="140" customWidth="1"/>
    <col min="11" max="11" width="9.875" style="140" customWidth="1"/>
    <col min="12" max="12" width="13.625" style="140" customWidth="1"/>
    <col min="13" max="13" width="16.75" style="140" customWidth="1"/>
    <col min="14" max="14" width="9.875" style="140" customWidth="1"/>
    <col min="15" max="15" width="13.5" style="140" customWidth="1"/>
    <col min="16" max="16" width="16.75" style="140" customWidth="1"/>
    <col min="17" max="17" width="9.875" style="140" customWidth="1"/>
    <col min="18" max="18" width="13.625" style="140" customWidth="1"/>
    <col min="19" max="19" width="16.75" style="140" customWidth="1"/>
    <col min="20" max="20" width="9.75" style="140" customWidth="1"/>
    <col min="21" max="21" width="9.5" style="140" customWidth="1"/>
    <col min="22" max="22" width="11.375" style="140" customWidth="1"/>
    <col min="23" max="23" width="13" style="140" customWidth="1"/>
    <col min="24" max="16384" width="8.875" style="140"/>
  </cols>
  <sheetData>
    <row r="1" spans="1:23" ht="15" customHeight="1">
      <c r="A1" s="400" t="s">
        <v>694</v>
      </c>
      <c r="W1" s="389"/>
    </row>
    <row r="2" spans="1:23" ht="15" customHeight="1"/>
    <row r="3" spans="1:23" ht="42.6" customHeight="1">
      <c r="A3" s="660" t="s">
        <v>560</v>
      </c>
      <c r="B3" s="660" t="s">
        <v>578</v>
      </c>
      <c r="C3" s="233" t="s">
        <v>121</v>
      </c>
      <c r="D3" s="547" t="s">
        <v>13</v>
      </c>
      <c r="E3" s="547"/>
      <c r="F3" s="249" t="s">
        <v>67</v>
      </c>
      <c r="G3" s="249" t="s">
        <v>76</v>
      </c>
      <c r="H3" s="135" t="s">
        <v>983</v>
      </c>
      <c r="I3" s="235" t="s">
        <v>986</v>
      </c>
      <c r="J3" s="235" t="s">
        <v>985</v>
      </c>
      <c r="K3" s="135" t="s">
        <v>380</v>
      </c>
      <c r="L3" s="235" t="s">
        <v>381</v>
      </c>
      <c r="M3" s="235" t="s">
        <v>382</v>
      </c>
      <c r="N3" s="135" t="s">
        <v>967</v>
      </c>
      <c r="O3" s="235" t="s">
        <v>968</v>
      </c>
      <c r="P3" s="235" t="s">
        <v>969</v>
      </c>
      <c r="Q3" s="135" t="s">
        <v>383</v>
      </c>
      <c r="R3" s="235" t="s">
        <v>384</v>
      </c>
      <c r="S3" s="235" t="s">
        <v>385</v>
      </c>
      <c r="T3" s="235" t="s">
        <v>107</v>
      </c>
      <c r="U3" s="235" t="s">
        <v>404</v>
      </c>
      <c r="V3" s="235" t="s">
        <v>107</v>
      </c>
      <c r="W3" s="540" t="s">
        <v>695</v>
      </c>
    </row>
    <row r="4" spans="1:23" ht="13.15" customHeight="1">
      <c r="A4" s="660"/>
      <c r="B4" s="660"/>
      <c r="C4" s="231" t="s">
        <v>564</v>
      </c>
      <c r="D4" s="664" t="s">
        <v>61</v>
      </c>
      <c r="E4" s="664"/>
      <c r="F4" s="250" t="s">
        <v>74</v>
      </c>
      <c r="G4" s="250" t="s">
        <v>77</v>
      </c>
      <c r="H4" s="103" t="s">
        <v>73</v>
      </c>
      <c r="I4" s="88" t="s">
        <v>72</v>
      </c>
      <c r="J4" s="88" t="s">
        <v>71</v>
      </c>
      <c r="K4" s="103" t="s">
        <v>81</v>
      </c>
      <c r="L4" s="88" t="s">
        <v>82</v>
      </c>
      <c r="M4" s="88" t="s">
        <v>83</v>
      </c>
      <c r="N4" s="103" t="s">
        <v>81</v>
      </c>
      <c r="O4" s="88" t="s">
        <v>82</v>
      </c>
      <c r="P4" s="88" t="s">
        <v>83</v>
      </c>
      <c r="Q4" s="103" t="s">
        <v>344</v>
      </c>
      <c r="R4" s="88" t="s">
        <v>345</v>
      </c>
      <c r="S4" s="88" t="s">
        <v>346</v>
      </c>
      <c r="T4" s="88" t="s">
        <v>83</v>
      </c>
      <c r="U4" s="88" t="s">
        <v>108</v>
      </c>
      <c r="V4" s="88" t="s">
        <v>111</v>
      </c>
      <c r="W4" s="541"/>
    </row>
    <row r="5" spans="1:23" ht="45" customHeight="1">
      <c r="A5" s="660"/>
      <c r="B5" s="660"/>
      <c r="C5" s="234" t="s">
        <v>348</v>
      </c>
      <c r="D5" s="549" t="s">
        <v>60</v>
      </c>
      <c r="E5" s="549"/>
      <c r="F5" s="251" t="s">
        <v>350</v>
      </c>
      <c r="G5" s="251" t="s">
        <v>446</v>
      </c>
      <c r="H5" s="136" t="s">
        <v>75</v>
      </c>
      <c r="I5" s="245" t="s">
        <v>447</v>
      </c>
      <c r="J5" s="237" t="s">
        <v>851</v>
      </c>
      <c r="K5" s="136" t="s">
        <v>351</v>
      </c>
      <c r="L5" s="245" t="s">
        <v>352</v>
      </c>
      <c r="M5" s="237" t="s">
        <v>970</v>
      </c>
      <c r="N5" s="136" t="s">
        <v>448</v>
      </c>
      <c r="O5" s="245" t="s">
        <v>449</v>
      </c>
      <c r="P5" s="237" t="s">
        <v>971</v>
      </c>
      <c r="Q5" s="137" t="s">
        <v>450</v>
      </c>
      <c r="R5" s="237" t="s">
        <v>452</v>
      </c>
      <c r="S5" s="237" t="s">
        <v>972</v>
      </c>
      <c r="T5" s="245" t="s">
        <v>453</v>
      </c>
      <c r="U5" s="245" t="s">
        <v>454</v>
      </c>
      <c r="V5" s="245" t="s">
        <v>727</v>
      </c>
      <c r="W5" s="541"/>
    </row>
    <row r="6" spans="1:23" ht="30.6" customHeight="1">
      <c r="A6" s="550" t="s">
        <v>311</v>
      </c>
      <c r="B6" s="552"/>
      <c r="C6" s="248" t="s">
        <v>753</v>
      </c>
      <c r="D6" s="579" t="s">
        <v>514</v>
      </c>
      <c r="E6" s="580"/>
      <c r="F6" s="248" t="s">
        <v>577</v>
      </c>
      <c r="G6" s="248" t="s">
        <v>515</v>
      </c>
      <c r="H6" s="29" t="s">
        <v>445</v>
      </c>
      <c r="I6" s="236" t="s">
        <v>516</v>
      </c>
      <c r="J6" s="236" t="s">
        <v>517</v>
      </c>
      <c r="K6" s="29" t="s">
        <v>445</v>
      </c>
      <c r="L6" s="236" t="s">
        <v>516</v>
      </c>
      <c r="M6" s="236" t="s">
        <v>517</v>
      </c>
      <c r="N6" s="29" t="s">
        <v>445</v>
      </c>
      <c r="O6" s="236" t="s">
        <v>516</v>
      </c>
      <c r="P6" s="236" t="s">
        <v>517</v>
      </c>
      <c r="Q6" s="29" t="s">
        <v>479</v>
      </c>
      <c r="R6" s="236" t="s">
        <v>516</v>
      </c>
      <c r="S6" s="236" t="s">
        <v>517</v>
      </c>
      <c r="T6" s="244" t="s">
        <v>558</v>
      </c>
      <c r="U6" s="248" t="s">
        <v>577</v>
      </c>
      <c r="V6" s="244" t="s">
        <v>558</v>
      </c>
      <c r="W6" s="542"/>
    </row>
    <row r="7" spans="1:23" ht="17.25">
      <c r="A7" s="570" t="s">
        <v>973</v>
      </c>
      <c r="B7" s="540" t="s">
        <v>397</v>
      </c>
      <c r="C7" s="553">
        <f>'ｼｰﾄNO.3（表-3）59頁'!$F$30</f>
        <v>9</v>
      </c>
      <c r="D7" s="138" t="s">
        <v>65</v>
      </c>
      <c r="E7" s="292">
        <f>'ｼｰﾄNO.4（表-4）60頁'!K6</f>
        <v>772.34999999999991</v>
      </c>
      <c r="F7" s="543">
        <f>'ｼｰﾄNO.4（表-4）60頁'!C6/1000</f>
        <v>1.054</v>
      </c>
      <c r="G7" s="543">
        <f>F7/('ｼｰﾄNO.4（表-4）60頁'!H6/3600)</f>
        <v>29.643750000000001</v>
      </c>
      <c r="H7" s="219">
        <f>-2.71095565/G7-0.09453616*G7+0.00089493*G7^2+3.15403637</f>
        <v>1.0466003564631281</v>
      </c>
      <c r="I7" s="620">
        <v>6000</v>
      </c>
      <c r="J7" s="99">
        <f>C7*E7*F7*H7/1000000*I7</f>
        <v>46.007581052948531</v>
      </c>
      <c r="K7" s="396">
        <f>-0.25063622/G7-0.00657231*G7+0.00005332*G7^2+0.29056757</f>
        <v>0.13413976437914132</v>
      </c>
      <c r="L7" s="620">
        <v>1364600</v>
      </c>
      <c r="M7" s="99">
        <f>C7*E7*F7*K7/1000000*L7</f>
        <v>1341.0969576596506</v>
      </c>
      <c r="N7" s="390">
        <f>0.093055673/G7-0.0002682273*G7+0.00000218*G7^2+0.0173678037</f>
        <v>1.4471352818974903E-2</v>
      </c>
      <c r="O7" s="620">
        <v>5506900</v>
      </c>
      <c r="P7" s="99">
        <f>C7*E7*F7*N7/1000000*O7</f>
        <v>583.86654776030605</v>
      </c>
      <c r="Q7" s="390">
        <f>0.0505593958/G7-0.000357176*G7+0.0000031505*G7^2+0.0131649024</f>
        <v>7.0509410543262221E-3</v>
      </c>
      <c r="R7" s="658">
        <v>11025800</v>
      </c>
      <c r="S7" s="375">
        <f t="shared" ref="S7" si="0">C7*E7*F7*Q7/1000000*R7</f>
        <v>569.5796516277195</v>
      </c>
      <c r="T7" s="616">
        <f>SUM(J7:J30)+SUM(M7:M30)+SUM(P7:P30)+SUM(S7:S30)</f>
        <v>21682.801938929384</v>
      </c>
      <c r="U7" s="616">
        <f>'ｼｰﾄNO.3（表-3）59頁'!F35</f>
        <v>16</v>
      </c>
      <c r="V7" s="616">
        <f>T7*U7</f>
        <v>346924.83102287014</v>
      </c>
      <c r="W7" s="661">
        <f>SUM(V7:V126)</f>
        <v>1602310.7368693582</v>
      </c>
    </row>
    <row r="8" spans="1:23" ht="17.25">
      <c r="A8" s="571"/>
      <c r="B8" s="542"/>
      <c r="C8" s="566"/>
      <c r="D8" s="139" t="s">
        <v>66</v>
      </c>
      <c r="E8" s="295">
        <f>'ｼｰﾄNO.4（表-4）60頁'!K7</f>
        <v>40.650000000000006</v>
      </c>
      <c r="F8" s="544"/>
      <c r="G8" s="544"/>
      <c r="H8" s="218">
        <f>12.28697452/G7-0.05907844*G7+0.00051753*G7^2+2.69979197</f>
        <v>1.8177538030136606</v>
      </c>
      <c r="I8" s="621"/>
      <c r="J8" s="221">
        <f>C7*E8*F7*H8/1000000*I7</f>
        <v>4.205619547137033</v>
      </c>
      <c r="K8" s="397">
        <f>9.45345681/G7-0.14325844*G7+0.00124097*G7^2+5.98054622</f>
        <v>3.1432357925564749</v>
      </c>
      <c r="L8" s="621"/>
      <c r="M8" s="221">
        <f>C7*E8*F7*K8/1000000*L7</f>
        <v>1653.96379394012</v>
      </c>
      <c r="N8" s="391">
        <f>0.6037810576/G7-0.0052863845*G7+0.0000423961*G7^2+0.3189943526</f>
        <v>0.21990965021660547</v>
      </c>
      <c r="O8" s="621"/>
      <c r="P8" s="221">
        <f>C7*E8*F7*N8/1000000*O7</f>
        <v>466.97663161180054</v>
      </c>
      <c r="Q8" s="392">
        <f>1.5469182952/G7-0.0051393982*G7+0.0000404677*G7^2+0.2460289003</f>
        <v>0.18142255744628519</v>
      </c>
      <c r="R8" s="659"/>
      <c r="S8" s="300">
        <f t="shared" ref="S8" si="1">C7*E8*F7*Q8/1000000*R7</f>
        <v>771.33860028858635</v>
      </c>
      <c r="T8" s="665"/>
      <c r="U8" s="665"/>
      <c r="V8" s="665"/>
      <c r="W8" s="666"/>
    </row>
    <row r="9" spans="1:23" ht="17.25">
      <c r="A9" s="571"/>
      <c r="B9" s="540" t="s">
        <v>398</v>
      </c>
      <c r="C9" s="553">
        <f>'ｼｰﾄNO.3（表-3）59頁'!$F$30</f>
        <v>9</v>
      </c>
      <c r="D9" s="138" t="s">
        <v>65</v>
      </c>
      <c r="E9" s="294">
        <f>'ｼｰﾄNO.4（表-4）60頁'!K8</f>
        <v>148.19999999999999</v>
      </c>
      <c r="F9" s="543">
        <f>'ｼｰﾄNO.4（表-4）60頁'!C8/1000</f>
        <v>0.76100000000000001</v>
      </c>
      <c r="G9" s="543">
        <f>F9/('ｼｰﾄNO.4（表-4）60頁'!H8/3600)</f>
        <v>27.955102040816328</v>
      </c>
      <c r="H9" s="219">
        <f>-2.71095565/G9-0.09453616*G9+0.00089493*G9^2+3.15403637</f>
        <v>1.1136698404962537</v>
      </c>
      <c r="I9" s="620">
        <v>6000</v>
      </c>
      <c r="J9" s="99">
        <f t="shared" ref="J9" si="2">C9*E9*F9*H9/1000000*I9</f>
        <v>6.7823949966373211</v>
      </c>
      <c r="K9" s="396">
        <f>-0.25063622/G9-0.00657231*G9+0.00005332*G9^2+0.29056757</f>
        <v>0.13954122906549798</v>
      </c>
      <c r="L9" s="620">
        <v>1364600</v>
      </c>
      <c r="M9" s="99">
        <f>C9*E9*F9*K9/1000000*L9</f>
        <v>193.27838171207401</v>
      </c>
      <c r="N9" s="390">
        <f>0.093055673/G9-0.0002682273*G9+0.00000218*G9^2+0.0173678037</f>
        <v>1.4901879955931608E-2</v>
      </c>
      <c r="O9" s="620">
        <v>5506900</v>
      </c>
      <c r="P9" s="99">
        <f>C9*E9*F9*N9/1000000*O9</f>
        <v>83.295899147207066</v>
      </c>
      <c r="Q9" s="390">
        <f>0.0505593958/G9-0.000357176*G9+0.0000031505*G9^2+0.0131649024</f>
        <v>7.450680750222689E-3</v>
      </c>
      <c r="R9" s="658">
        <v>11025800</v>
      </c>
      <c r="S9" s="99">
        <f t="shared" ref="S9" si="3">C9*E9*F9*Q9/1000000*R9</f>
        <v>83.383752416847187</v>
      </c>
      <c r="T9" s="665"/>
      <c r="U9" s="665"/>
      <c r="V9" s="665"/>
      <c r="W9" s="666"/>
    </row>
    <row r="10" spans="1:23" ht="17.25">
      <c r="A10" s="571"/>
      <c r="B10" s="542"/>
      <c r="C10" s="566"/>
      <c r="D10" s="139" t="s">
        <v>66</v>
      </c>
      <c r="E10" s="298">
        <f>'ｼｰﾄNO.4（表-4）60頁'!K9</f>
        <v>7.8000000000000007</v>
      </c>
      <c r="F10" s="544"/>
      <c r="G10" s="544"/>
      <c r="H10" s="218">
        <f>12.28697452/G9-0.05907844*G9+0.00051753*G9^2+2.69979197</f>
        <v>1.8922167930969032</v>
      </c>
      <c r="I10" s="621"/>
      <c r="J10" s="221">
        <f t="shared" ref="J10" si="4">C9*E10*F9*H10/1000000*I9</f>
        <v>0.60651830378508842</v>
      </c>
      <c r="K10" s="397">
        <f>9.45345681/G9-0.14325844*G9+0.00124097*G9^2+5.98054622</f>
        <v>3.2837104457456512</v>
      </c>
      <c r="L10" s="621"/>
      <c r="M10" s="221">
        <f>C9*E10*F9*K10/1000000*L9</f>
        <v>239.38227516401381</v>
      </c>
      <c r="N10" s="391">
        <f>0.6037810576/G9-0.0052863845*G9+0.0000423961*G9^2+0.3189943526</f>
        <v>0.22594320837961243</v>
      </c>
      <c r="O10" s="621"/>
      <c r="P10" s="221">
        <f>C9*E10*F9*N10/1000000*O9</f>
        <v>66.470393611375528</v>
      </c>
      <c r="Q10" s="392">
        <f>1.5469182952/G9-0.0051393982*G9+0.0000404677*G9^2+0.2460289003</f>
        <v>0.18931732307317983</v>
      </c>
      <c r="R10" s="659"/>
      <c r="S10" s="100">
        <f t="shared" ref="S10" si="5">C9*E10*F9*Q10/1000000*R9</f>
        <v>111.51216155921465</v>
      </c>
      <c r="T10" s="665"/>
      <c r="U10" s="665"/>
      <c r="V10" s="665"/>
      <c r="W10" s="666"/>
    </row>
    <row r="11" spans="1:23" ht="17.25">
      <c r="A11" s="571"/>
      <c r="B11" s="540" t="s">
        <v>387</v>
      </c>
      <c r="C11" s="553">
        <f>'ｼｰﾄNO.3（表-3）59頁'!$F$30</f>
        <v>9</v>
      </c>
      <c r="D11" s="138" t="s">
        <v>65</v>
      </c>
      <c r="E11" s="292">
        <f>'ｼｰﾄNO.4（表-4）60頁'!K10</f>
        <v>41.8</v>
      </c>
      <c r="F11" s="543">
        <f>'ｼｰﾄNO.4（表-4）60頁'!C10/1000</f>
        <v>0.82399999999999995</v>
      </c>
      <c r="G11" s="543">
        <f>F11/('ｼｰﾄNO.4（表-4）60頁'!H10/3600)</f>
        <v>24.927731092436975</v>
      </c>
      <c r="H11" s="219">
        <f>-2.71095565/G11-0.09453616*G11+0.00089493*G11^2+3.15403637</f>
        <v>1.2448139350987362</v>
      </c>
      <c r="I11" s="620">
        <v>6000</v>
      </c>
      <c r="J11" s="99">
        <f t="shared" ref="J11" si="6">C11*E11*F11*H11/1000000*I11</f>
        <v>2.3152702677872101</v>
      </c>
      <c r="K11" s="396">
        <f>-0.25063622/G11-0.00657231*G11+0.00005332*G11^2+0.29056757</f>
        <v>0.14981288928616346</v>
      </c>
      <c r="L11" s="620">
        <v>1364600</v>
      </c>
      <c r="M11" s="99">
        <f>C11*E11*F11*K11/1000000*L11</f>
        <v>63.372457634878913</v>
      </c>
      <c r="N11" s="390">
        <f>0.093055673/G11-0.0002682273*G11+0.00000218*G11^2+0.0173678037</f>
        <v>1.5769157934508494E-2</v>
      </c>
      <c r="O11" s="620">
        <v>5506900</v>
      </c>
      <c r="P11" s="99">
        <f>C11*E11*F11*N11/1000000*O11</f>
        <v>26.919171908389597</v>
      </c>
      <c r="Q11" s="390">
        <f>0.0505593958/G11-0.000357176*G11+0.0000031505*G11^2+0.0131649024</f>
        <v>8.2472488906841519E-3</v>
      </c>
      <c r="R11" s="658">
        <v>11025800</v>
      </c>
      <c r="S11" s="393">
        <f t="shared" ref="S11" si="7">C11*E11*F11*Q11/1000000*R11</f>
        <v>28.188061769672274</v>
      </c>
      <c r="T11" s="665"/>
      <c r="U11" s="665"/>
      <c r="V11" s="665"/>
      <c r="W11" s="666"/>
    </row>
    <row r="12" spans="1:23" ht="17.25">
      <c r="A12" s="571"/>
      <c r="B12" s="542"/>
      <c r="C12" s="566"/>
      <c r="D12" s="139" t="s">
        <v>66</v>
      </c>
      <c r="E12" s="295">
        <f>'ｼｰﾄNO.4（表-4）60頁'!K11</f>
        <v>2.2000000000000002</v>
      </c>
      <c r="F12" s="544"/>
      <c r="G12" s="544"/>
      <c r="H12" s="218">
        <f>12.28697452/G11-0.05907844*G11+0.00051753*G11^2+2.69979197</f>
        <v>2.0415932365843594</v>
      </c>
      <c r="I12" s="621"/>
      <c r="J12" s="221">
        <f t="shared" ref="J12" si="8">C11*E12*F11*H12/1000000*I11</f>
        <v>0.19985401184112686</v>
      </c>
      <c r="K12" s="397">
        <f>9.45345681/G11-0.14325844*G11+0.00124097*G11^2+5.98054622</f>
        <v>3.5598014520360097</v>
      </c>
      <c r="L12" s="621"/>
      <c r="M12" s="221">
        <f>C11*E12*F11*K12/1000000*L11</f>
        <v>79.254429618541934</v>
      </c>
      <c r="N12" s="391">
        <f>0.6037810576/G11-0.0052863845*G11+0.0000423961*G11^2+0.3189943526</f>
        <v>0.2377826293315011</v>
      </c>
      <c r="O12" s="621"/>
      <c r="P12" s="221">
        <f>C11*E12*F11*N12/1000000*O11</f>
        <v>21.363859698344267</v>
      </c>
      <c r="Q12" s="392">
        <f>1.5469182952/G11-0.0051393982*G11+0.0000404677*G11^2+0.2460289003</f>
        <v>0.2051177809551076</v>
      </c>
      <c r="R12" s="659"/>
      <c r="S12" s="300">
        <f t="shared" ref="S12" si="9">C11*E12*F11*Q12/1000000*R11</f>
        <v>36.898254488818331</v>
      </c>
      <c r="T12" s="665"/>
      <c r="U12" s="665"/>
      <c r="V12" s="665"/>
      <c r="W12" s="666"/>
    </row>
    <row r="13" spans="1:23" ht="17.25">
      <c r="A13" s="571"/>
      <c r="B13" s="540" t="s">
        <v>388</v>
      </c>
      <c r="C13" s="553">
        <f>'ｼｰﾄNO.3（表-3）59頁'!$F$30</f>
        <v>9</v>
      </c>
      <c r="D13" s="138" t="s">
        <v>65</v>
      </c>
      <c r="E13" s="294">
        <f>'ｼｰﾄNO.4（表-4）60頁'!K12</f>
        <v>753.34999999999991</v>
      </c>
      <c r="F13" s="543">
        <f>'ｼｰﾄNO.4（表-4）60頁'!C12/1000</f>
        <v>1.054</v>
      </c>
      <c r="G13" s="543">
        <f>F13/('ｼｰﾄNO.4（表-4）60頁'!H12/3600)</f>
        <v>30.6</v>
      </c>
      <c r="H13" s="219">
        <f>-2.71095565/G13-0.09453616*G13+0.00089493*G13^2+3.15403637</f>
        <v>1.0106132069045755</v>
      </c>
      <c r="I13" s="620">
        <v>6000</v>
      </c>
      <c r="J13" s="99">
        <f t="shared" ref="J13" si="10">C13*E13*F13*H13/1000000*I13</f>
        <v>43.332738168437615</v>
      </c>
      <c r="K13" s="396">
        <f>-0.25063622/G13-0.00657231*G13+0.00005332*G13^2+0.29056757</f>
        <v>0.13119087305620916</v>
      </c>
      <c r="L13" s="620">
        <v>1364600</v>
      </c>
      <c r="M13" s="99">
        <f>C13*E13*F13*K13/1000000*L13</f>
        <v>1279.3486114663865</v>
      </c>
      <c r="N13" s="390">
        <f>0.093055673/G13-0.0002682273*G13+0.00000218*G13^2+0.0173678037</f>
        <v>1.4242348185359476E-2</v>
      </c>
      <c r="O13" s="620">
        <v>5506900</v>
      </c>
      <c r="P13" s="99">
        <f>C13*E13*F13*N13/1000000*O13</f>
        <v>560.4910756012647</v>
      </c>
      <c r="Q13" s="390">
        <f>0.0505593958/G13-0.000357176*G13+0.0000031505*G13^2+0.0131649024</f>
        <v>6.8375868166013053E-3</v>
      </c>
      <c r="R13" s="658">
        <v>11025800</v>
      </c>
      <c r="S13" s="99">
        <f t="shared" ref="S13" si="11">C13*E13*F13*Q13/1000000*R13</f>
        <v>538.75693922824041</v>
      </c>
      <c r="T13" s="665"/>
      <c r="U13" s="665"/>
      <c r="V13" s="665"/>
      <c r="W13" s="666"/>
    </row>
    <row r="14" spans="1:23" ht="17.25">
      <c r="A14" s="571"/>
      <c r="B14" s="542"/>
      <c r="C14" s="566"/>
      <c r="D14" s="139" t="s">
        <v>66</v>
      </c>
      <c r="E14" s="298">
        <f>'ｼｰﾄNO.4（表-4）60頁'!K13</f>
        <v>39.650000000000006</v>
      </c>
      <c r="F14" s="544"/>
      <c r="G14" s="544"/>
      <c r="H14" s="218">
        <f>12.28697452/G13-0.05907844*G13+0.00051753*G13^2+2.69979197</f>
        <v>1.7781212118326797</v>
      </c>
      <c r="I14" s="621"/>
      <c r="J14" s="221">
        <f t="shared" ref="J14" si="12">C13*E14*F13*H14/1000000*I13</f>
        <v>4.0127206342943182</v>
      </c>
      <c r="K14" s="397">
        <f>9.45345681/G13-0.14325844*G13+0.00124097*G13^2+5.98054622</f>
        <v>3.0677691222588237</v>
      </c>
      <c r="L14" s="621"/>
      <c r="M14" s="221">
        <f>C13*E14*F13*K14/1000000*L13</f>
        <v>1574.5423665336648</v>
      </c>
      <c r="N14" s="391">
        <f>0.6037810576/G13-0.0052863845*G13+0.0000423961*G13^2+0.3189943526</f>
        <v>0.21666040620711108</v>
      </c>
      <c r="O14" s="621"/>
      <c r="P14" s="221">
        <f>C13*E14*F13*N14/1000000*O13</f>
        <v>448.75887974436336</v>
      </c>
      <c r="Q14" s="392">
        <f>1.5469182952/G13-0.0051393982*G13+0.0000404677*G13^2+0.2460289003</f>
        <v>0.17720853641605228</v>
      </c>
      <c r="R14" s="659"/>
      <c r="S14" s="100">
        <f t="shared" ref="S14" si="13">C13*E14*F13*Q14/1000000*R13</f>
        <v>734.88783970596694</v>
      </c>
      <c r="T14" s="665"/>
      <c r="U14" s="665"/>
      <c r="V14" s="665"/>
      <c r="W14" s="666"/>
    </row>
    <row r="15" spans="1:23" ht="17.25">
      <c r="A15" s="571"/>
      <c r="B15" s="540" t="s">
        <v>389</v>
      </c>
      <c r="C15" s="553">
        <f>'ｼｰﾄNO.3（表-3）59頁'!$F$30</f>
        <v>9</v>
      </c>
      <c r="D15" s="138" t="s">
        <v>65</v>
      </c>
      <c r="E15" s="292">
        <f>'ｼｰﾄNO.4（表-4）60頁'!K14</f>
        <v>39.9</v>
      </c>
      <c r="F15" s="543">
        <f>'ｼｰﾄNO.4（表-4）60頁'!C14/1000</f>
        <v>0.84799999999999998</v>
      </c>
      <c r="G15" s="543">
        <f>F15/('ｼｰﾄNO.4（表-4）60頁'!H14/3600)</f>
        <v>22.613333333333333</v>
      </c>
      <c r="H15" s="219">
        <f>-2.71095565/G15-0.09453616*G15+0.00089493*G15^2+3.15403637</f>
        <v>1.3540095598927391</v>
      </c>
      <c r="I15" s="620">
        <v>6000</v>
      </c>
      <c r="J15" s="99">
        <f t="shared" ref="J15" si="14">C15*E15*F15*H15/1000000*I15</f>
        <v>2.4739119500876714</v>
      </c>
      <c r="K15" s="396">
        <f>-0.25063622/G15-0.00657231*G15+0.00005332*G15^2+0.29056757</f>
        <v>0.15812804080870232</v>
      </c>
      <c r="L15" s="620">
        <v>1364600</v>
      </c>
      <c r="M15" s="99">
        <f>C15*E15*F15*K15/1000000*L15</f>
        <v>65.709099336071944</v>
      </c>
      <c r="N15" s="390">
        <f>0.093055673/G15-0.0002682273*G15+0.00000218*G15^2+0.0173678037</f>
        <v>1.6532141236016248E-2</v>
      </c>
      <c r="O15" s="620">
        <v>5506900</v>
      </c>
      <c r="P15" s="99">
        <f>C15*E15*F15*N15/1000000*O15</f>
        <v>27.723467876618166</v>
      </c>
      <c r="Q15" s="390">
        <f>0.0505593958/G15-0.000357176*G15+0.0000031505*G15^2+0.0131649024</f>
        <v>8.9348334326093265E-3</v>
      </c>
      <c r="R15" s="658">
        <v>11025800</v>
      </c>
      <c r="S15" s="393">
        <f t="shared" ref="S15" si="15">C15*E15*F15*Q15/1000000*R15</f>
        <v>29.999072557387411</v>
      </c>
      <c r="T15" s="665"/>
      <c r="U15" s="665"/>
      <c r="V15" s="665"/>
      <c r="W15" s="666"/>
    </row>
    <row r="16" spans="1:23" ht="17.25">
      <c r="A16" s="571"/>
      <c r="B16" s="542"/>
      <c r="C16" s="566"/>
      <c r="D16" s="139" t="s">
        <v>66</v>
      </c>
      <c r="E16" s="295">
        <f>'ｼｰﾄNO.4（表-4）60頁'!K15</f>
        <v>2.1</v>
      </c>
      <c r="F16" s="544"/>
      <c r="G16" s="544"/>
      <c r="H16" s="218">
        <f>12.28697452/G15-0.05907844*G15+0.00051753*G15^2+2.69979197</f>
        <v>2.1718280043001132</v>
      </c>
      <c r="I16" s="621"/>
      <c r="J16" s="221">
        <f t="shared" ref="J16" si="16">C15*E16*F15*H16/1000000*I15</f>
        <v>0.20884993074311264</v>
      </c>
      <c r="K16" s="397">
        <f>9.45345681/G15-0.14325844*G15+0.00124097*G15^2+5.98054622</f>
        <v>3.7936292257149553</v>
      </c>
      <c r="L16" s="621"/>
      <c r="M16" s="221">
        <f>C15*E16*F15*K16/1000000*L15</f>
        <v>82.969391653776412</v>
      </c>
      <c r="N16" s="391">
        <f>0.6037810576/G15-0.0052863845*G15+0.0000423961*G15^2+0.3189943526</f>
        <v>0.24783159171834482</v>
      </c>
      <c r="O16" s="621"/>
      <c r="P16" s="221">
        <f>C15*E16*F15*N16/1000000*O15</f>
        <v>21.873662798094248</v>
      </c>
      <c r="Q16" s="392">
        <f>1.5469182952/G15-0.0051393982*G15+0.0000404677*G15^2+0.2460289003</f>
        <v>0.21891100770692318</v>
      </c>
      <c r="R16" s="659"/>
      <c r="S16" s="300">
        <f t="shared" ref="S16" si="17">C15*E16*F15*Q16/1000000*R15</f>
        <v>38.684355616894578</v>
      </c>
      <c r="T16" s="665"/>
      <c r="U16" s="665"/>
      <c r="V16" s="665"/>
      <c r="W16" s="666"/>
    </row>
    <row r="17" spans="1:23" ht="17.25">
      <c r="A17" s="571"/>
      <c r="B17" s="540" t="s">
        <v>390</v>
      </c>
      <c r="C17" s="553">
        <f>'ｼｰﾄNO.3（表-3）59頁'!$F$30</f>
        <v>9</v>
      </c>
      <c r="D17" s="138" t="s">
        <v>65</v>
      </c>
      <c r="E17" s="294">
        <f>'ｼｰﾄNO.4（表-4）60頁'!K16</f>
        <v>147.25</v>
      </c>
      <c r="F17" s="543">
        <f>'ｼｰﾄNO.4（表-4）60頁'!C16/1000</f>
        <v>0.91</v>
      </c>
      <c r="G17" s="543">
        <f>F17/('ｼｰﾄNO.4（表-4）60頁'!H16/3600)</f>
        <v>30.055045871559635</v>
      </c>
      <c r="H17" s="219">
        <f>-2.71095565/G17-0.09453616*G17+0.00089493*G17^2+3.15403637</f>
        <v>1.030943504144429</v>
      </c>
      <c r="I17" s="620">
        <v>6000</v>
      </c>
      <c r="J17" s="99">
        <f t="shared" ref="J17" si="18">C17*E17*F17*H17/1000000*I17</f>
        <v>7.4597680186160291</v>
      </c>
      <c r="K17" s="396">
        <f>-0.25063622/G17-0.00657231*G17+0.00005332*G17^2+0.29056757</f>
        <v>0.13286151647220723</v>
      </c>
      <c r="L17" s="620">
        <v>1364600</v>
      </c>
      <c r="M17" s="99">
        <f>C17*E17*F17*K17/1000000*L17</f>
        <v>218.6471280922656</v>
      </c>
      <c r="N17" s="390">
        <f>0.093055673/G17-0.0002682273*G17+0.00000218*G17^2+0.0173678037</f>
        <v>1.4371601212148963E-2</v>
      </c>
      <c r="O17" s="620">
        <v>5506900</v>
      </c>
      <c r="P17" s="99">
        <f>C17*E17*F17*N17/1000000*O17</f>
        <v>95.44464196566976</v>
      </c>
      <c r="Q17" s="390">
        <f>0.0505593958/G17-0.000357176*G17+0.0000031505*G17^2+0.0131649024</f>
        <v>6.9580527421799696E-3</v>
      </c>
      <c r="R17" s="658">
        <v>11025800</v>
      </c>
      <c r="S17" s="99">
        <f t="shared" ref="S17" si="19">C17*E17*F17*Q17/1000000*R17</f>
        <v>92.520299940018546</v>
      </c>
      <c r="T17" s="665"/>
      <c r="U17" s="665"/>
      <c r="V17" s="665"/>
      <c r="W17" s="666"/>
    </row>
    <row r="18" spans="1:23" ht="17.25">
      <c r="A18" s="571"/>
      <c r="B18" s="542"/>
      <c r="C18" s="566"/>
      <c r="D18" s="139" t="s">
        <v>66</v>
      </c>
      <c r="E18" s="298">
        <f>'ｼｰﾄNO.4（表-4）60頁'!K17</f>
        <v>7.75</v>
      </c>
      <c r="F18" s="544"/>
      <c r="G18" s="544"/>
      <c r="H18" s="218">
        <f>12.28697452/G17-0.05907844*G17+0.00051753*G17^2+2.69979197</f>
        <v>1.8004902841038075</v>
      </c>
      <c r="I18" s="621"/>
      <c r="J18" s="221">
        <f t="shared" ref="J18" si="20">C17*E18*F17*H18/1000000*I17</f>
        <v>0.68568971734667361</v>
      </c>
      <c r="K18" s="397">
        <f>9.45345681/G17-0.14325844*G17+0.00124097*G17^2+5.98054622</f>
        <v>3.11042070390894</v>
      </c>
      <c r="L18" s="621"/>
      <c r="M18" s="221">
        <f>C17*E18*F17*K18/1000000*L17</f>
        <v>269.40776267464264</v>
      </c>
      <c r="N18" s="391">
        <f>0.6037810576/G17-0.0052863845*G17+0.0000423961*G17^2+0.3189943526</f>
        <v>0.21849764061943486</v>
      </c>
      <c r="O18" s="621"/>
      <c r="P18" s="221">
        <f>C17*E18*F17*N18/1000000*O17</f>
        <v>76.372946499504039</v>
      </c>
      <c r="Q18" s="392">
        <f>1.5469182952/G17-0.0051393982*G17+0.0000404677*G17^2+0.2460289003</f>
        <v>0.17958826277182416</v>
      </c>
      <c r="R18" s="659"/>
      <c r="S18" s="100">
        <f t="shared" ref="S18" si="21">C17*E18*F17*Q18/1000000*R17</f>
        <v>125.68216812965736</v>
      </c>
      <c r="T18" s="665"/>
      <c r="U18" s="665"/>
      <c r="V18" s="665"/>
      <c r="W18" s="666"/>
    </row>
    <row r="19" spans="1:23" ht="17.25">
      <c r="A19" s="571"/>
      <c r="B19" s="540" t="s">
        <v>391</v>
      </c>
      <c r="C19" s="553">
        <f>'ｼｰﾄNO.3（表-3）59頁'!$F$30</f>
        <v>9</v>
      </c>
      <c r="D19" s="138" t="s">
        <v>65</v>
      </c>
      <c r="E19" s="292">
        <f>'ｼｰﾄNO.4（表-4）60頁'!K18</f>
        <v>54.15</v>
      </c>
      <c r="F19" s="543">
        <f>'ｼｰﾄNO.4（表-4）60頁'!C18/1000</f>
        <v>0.76100000000000001</v>
      </c>
      <c r="G19" s="543">
        <f>F19/('ｼｰﾄNO.4（表-4）60頁'!H18/3600)</f>
        <v>22.641322314049585</v>
      </c>
      <c r="H19" s="219">
        <f>-2.71095565/G19-0.09453616*G19+0.00089493*G19^2+3.15403637</f>
        <v>1.3526453340932798</v>
      </c>
      <c r="I19" s="620">
        <v>6000</v>
      </c>
      <c r="J19" s="99">
        <f t="shared" ref="J19" si="22">C19*E19*F19*H19/1000000*I19</f>
        <v>3.009960638502263</v>
      </c>
      <c r="K19" s="396">
        <f>-0.25063622/G19-0.00657231*G19+0.00005332*G19^2+0.29056757</f>
        <v>0.15802532673956798</v>
      </c>
      <c r="L19" s="620">
        <v>1364600</v>
      </c>
      <c r="M19" s="99">
        <f>C19*E19*F19*K19/1000000*L19</f>
        <v>79.975633903976131</v>
      </c>
      <c r="N19" s="390">
        <f>0.093055673/G19-0.0002682273*G19+0.00000218*G19^2+0.0173678037</f>
        <v>1.6522308062949704E-2</v>
      </c>
      <c r="O19" s="620">
        <v>5506900</v>
      </c>
      <c r="P19" s="99">
        <f>C19*E19*F19*N19/1000000*O19</f>
        <v>33.744541593523081</v>
      </c>
      <c r="Q19" s="390">
        <f>0.0505593958/G19-0.000357176*G19+0.0000031505*G19^2+0.0131649024</f>
        <v>8.9260630618954936E-3</v>
      </c>
      <c r="R19" s="658">
        <v>11025800</v>
      </c>
      <c r="S19" s="393">
        <f t="shared" ref="S19" si="23">C19*E19*F19*Q19/1000000*R19</f>
        <v>36.500237334720801</v>
      </c>
      <c r="T19" s="665"/>
      <c r="U19" s="665"/>
      <c r="V19" s="665"/>
      <c r="W19" s="666"/>
    </row>
    <row r="20" spans="1:23" ht="17.25">
      <c r="A20" s="571"/>
      <c r="B20" s="542"/>
      <c r="C20" s="566"/>
      <c r="D20" s="139" t="s">
        <v>66</v>
      </c>
      <c r="E20" s="295">
        <f>'ｼｰﾄNO.4（表-4）60頁'!K19</f>
        <v>2.85</v>
      </c>
      <c r="F20" s="544"/>
      <c r="G20" s="544"/>
      <c r="H20" s="218">
        <f>12.28697452/G19-0.05907844*G19+0.00051753*G19^2+2.69979197</f>
        <v>2.1701582938483104</v>
      </c>
      <c r="I20" s="621"/>
      <c r="J20" s="221">
        <f t="shared" ref="J20" si="24">C19*E20*F19*H20/1000000*I19</f>
        <v>0.2541643820430971</v>
      </c>
      <c r="K20" s="397">
        <f>9.45345681/G19-0.14325844*G19+0.00124097*G19^2+5.98054622</f>
        <v>3.7906746331889405</v>
      </c>
      <c r="L20" s="621"/>
      <c r="M20" s="221">
        <f>C19*E20*F19*K20/1000000*L19</f>
        <v>100.97035941474519</v>
      </c>
      <c r="N20" s="391">
        <f>0.6037810576/G19-0.0052863845*G19+0.0000423961*G19^2+0.3189943526</f>
        <v>0.24770432489329391</v>
      </c>
      <c r="O20" s="621"/>
      <c r="P20" s="221">
        <f>C19*E20*F19*N20/1000000*O19</f>
        <v>26.6264216916239</v>
      </c>
      <c r="Q20" s="392">
        <f>1.5469182952/G19-0.0051393982*G19+0.0000404677*G19^2+0.2460289003</f>
        <v>0.21873385436050466</v>
      </c>
      <c r="R20" s="659"/>
      <c r="S20" s="300">
        <f t="shared" ref="S20" si="25">C19*E20*F19*Q20/1000000*R19</f>
        <v>47.0758469765792</v>
      </c>
      <c r="T20" s="665"/>
      <c r="U20" s="665"/>
      <c r="V20" s="665"/>
      <c r="W20" s="666"/>
    </row>
    <row r="21" spans="1:23" ht="17.25">
      <c r="A21" s="571"/>
      <c r="B21" s="540" t="s">
        <v>392</v>
      </c>
      <c r="C21" s="553">
        <f>'ｼｰﾄNO.3（表-3）59頁'!$F$30</f>
        <v>9</v>
      </c>
      <c r="D21" s="138" t="s">
        <v>65</v>
      </c>
      <c r="E21" s="294">
        <f>'ｼｰﾄNO.4（表-4）60頁'!K20</f>
        <v>158.65</v>
      </c>
      <c r="F21" s="543">
        <f>'ｼｰﾄNO.4（表-4）60頁'!C20/1000</f>
        <v>0.84799999999999998</v>
      </c>
      <c r="G21" s="543">
        <f>F21/('ｼｰﾄNO.4（表-4）60頁'!H20/3600)</f>
        <v>27.752727272727274</v>
      </c>
      <c r="H21" s="219">
        <f>-2.71095565/G21-0.09453616*G21+0.00089493*G21^2+3.15403637</f>
        <v>1.1220051084994243</v>
      </c>
      <c r="I21" s="620">
        <v>6000</v>
      </c>
      <c r="J21" s="99">
        <f t="shared" ref="J21" si="26">C21*E21*F21*H21/1000000*I21</f>
        <v>8.1512558103415547</v>
      </c>
      <c r="K21" s="396">
        <f>-0.25063622/G21-0.00657231*G21+0.00005332*G21^2+0.29056757</f>
        <v>0.14020479834032479</v>
      </c>
      <c r="L21" s="620">
        <v>1364600</v>
      </c>
      <c r="M21" s="99">
        <f>C21*E21*F21*K21/1000000*L21</f>
        <v>231.6576690649122</v>
      </c>
      <c r="N21" s="390">
        <f>0.093055673/G21-0.0002682273*G21+0.00000218*G21^2+0.0173678037</f>
        <v>1.4955858884601478E-2</v>
      </c>
      <c r="O21" s="620">
        <v>5506900</v>
      </c>
      <c r="P21" s="99">
        <f>C21*E21*F21*N21/1000000*O21</f>
        <v>99.72337933332777</v>
      </c>
      <c r="Q21" s="390">
        <f>0.0505593958/G21-0.000357176*G21+0.0000031505*G21^2+0.0131649024</f>
        <v>7.5006342486333456E-3</v>
      </c>
      <c r="R21" s="658">
        <v>11025800</v>
      </c>
      <c r="S21" s="99">
        <f t="shared" ref="S21" si="27">C21*E21*F21*Q21/1000000*R21</f>
        <v>100.13514641204659</v>
      </c>
      <c r="T21" s="665"/>
      <c r="U21" s="665"/>
      <c r="V21" s="665"/>
      <c r="W21" s="666"/>
    </row>
    <row r="22" spans="1:23" ht="17.25">
      <c r="A22" s="571"/>
      <c r="B22" s="542"/>
      <c r="C22" s="566"/>
      <c r="D22" s="139" t="s">
        <v>66</v>
      </c>
      <c r="E22" s="298">
        <f>'ｼｰﾄNO.4（表-4）60頁'!K21</f>
        <v>8.35</v>
      </c>
      <c r="F22" s="544"/>
      <c r="G22" s="544"/>
      <c r="H22" s="218">
        <f>12.28697452/G21-0.05907844*G21+0.00051753*G21^2+2.69979197</f>
        <v>1.9015432666737011</v>
      </c>
      <c r="I22" s="621"/>
      <c r="J22" s="221">
        <f t="shared" ref="J22" si="28">C21*E22*F21*H22/1000000*I21</f>
        <v>0.72708016838380962</v>
      </c>
      <c r="K22" s="397">
        <f>9.45345681/G21-0.14325844*G21+0.00124097*G21^2+5.98054622</f>
        <v>3.3011777457107159</v>
      </c>
      <c r="L22" s="621"/>
      <c r="M22" s="221">
        <f>C21*E22*F21*K22/1000000*L21</f>
        <v>287.07747177998772</v>
      </c>
      <c r="N22" s="391">
        <f>0.6037810576/G21-0.0052863845*G21+0.0000423961*G21^2+0.3189943526</f>
        <v>0.22669256740568483</v>
      </c>
      <c r="O22" s="621"/>
      <c r="P22" s="221">
        <f>C21*E22*F21*N22/1000000*O21</f>
        <v>79.555334928478416</v>
      </c>
      <c r="Q22" s="392">
        <f>1.5469182952/G21-0.0051393982*G21+0.0000404677*G21^2+0.2460289003</f>
        <v>0.190304692944187</v>
      </c>
      <c r="R22" s="659"/>
      <c r="S22" s="100">
        <f t="shared" ref="S22" si="29">C21*E22*F21*Q22/1000000*R21</f>
        <v>133.71632920900811</v>
      </c>
      <c r="T22" s="665"/>
      <c r="U22" s="665"/>
      <c r="V22" s="665"/>
      <c r="W22" s="666"/>
    </row>
    <row r="23" spans="1:23" ht="17.25">
      <c r="A23" s="571"/>
      <c r="B23" s="540" t="s">
        <v>393</v>
      </c>
      <c r="C23" s="553">
        <f>'ｼｰﾄNO.3（表-3）59頁'!$F$30</f>
        <v>9</v>
      </c>
      <c r="D23" s="138" t="s">
        <v>65</v>
      </c>
      <c r="E23" s="292">
        <f>'ｼｰﾄNO.4（表-4）60頁'!K22</f>
        <v>738.15</v>
      </c>
      <c r="F23" s="543">
        <f>'ｼｰﾄNO.4（表-4）60頁'!C22/1000</f>
        <v>0.61699999999999999</v>
      </c>
      <c r="G23" s="543">
        <f>F23/('ｼｰﾄNO.4（表-4）60頁'!H22/3600)</f>
        <v>27.087804878048779</v>
      </c>
      <c r="H23" s="219">
        <f>-2.71095565/G23-0.09453616*G23+0.00089493*G23^2+3.15403637</f>
        <v>1.1498331610692509</v>
      </c>
      <c r="I23" s="620">
        <v>6000</v>
      </c>
      <c r="J23" s="99">
        <f t="shared" ref="J23" si="30">C23*E23*F23*H23/1000000*I23</f>
        <v>28.278630771441986</v>
      </c>
      <c r="K23" s="396">
        <f>-0.25063622/G23-0.00657231*G23+0.00005332*G23^2+0.29056757</f>
        <v>0.14240889225716619</v>
      </c>
      <c r="L23" s="620">
        <v>1364600</v>
      </c>
      <c r="M23" s="99">
        <f>C23*E23*F23*K23/1000000*L23</f>
        <v>796.55317449075415</v>
      </c>
      <c r="N23" s="390">
        <f>0.093055673/G23-0.0002682273*G23+0.00000218*G23^2+0.0173678037</f>
        <v>1.5137022719626959E-2</v>
      </c>
      <c r="O23" s="620">
        <v>5506900</v>
      </c>
      <c r="P23" s="99">
        <f>C23*E23*F23*N23/1000000*O23</f>
        <v>341.68030848427588</v>
      </c>
      <c r="Q23" s="390">
        <f>0.0505593958/G23-0.000357176*G23+0.0000031505*G23^2+0.0131649024</f>
        <v>7.6679656699207913E-3</v>
      </c>
      <c r="R23" s="658">
        <v>11025800</v>
      </c>
      <c r="S23" s="393">
        <f t="shared" ref="S23" si="31">C23*E23*F23*Q23/1000000*R23</f>
        <v>346.54733852967382</v>
      </c>
      <c r="T23" s="665"/>
      <c r="U23" s="665"/>
      <c r="V23" s="665"/>
      <c r="W23" s="666"/>
    </row>
    <row r="24" spans="1:23" ht="17.25">
      <c r="A24" s="571"/>
      <c r="B24" s="542"/>
      <c r="C24" s="566"/>
      <c r="D24" s="139" t="s">
        <v>66</v>
      </c>
      <c r="E24" s="295">
        <f>'ｼｰﾄNO.4（表-4）60頁'!K23</f>
        <v>38.85</v>
      </c>
      <c r="F24" s="544"/>
      <c r="G24" s="544"/>
      <c r="H24" s="218">
        <f>12.28697452/G23-0.05907844*G23+0.00051753*G23^2+2.69979197</f>
        <v>1.9328219392155921</v>
      </c>
      <c r="I24" s="621"/>
      <c r="J24" s="221">
        <f t="shared" ref="J24" si="32">C23*E24*F23*H24/1000000*I23</f>
        <v>2.5018530292550012</v>
      </c>
      <c r="K24" s="397">
        <f>9.45345681/G23-0.14325844*G23+0.00124097*G23^2+5.98054622</f>
        <v>3.3595433546140332</v>
      </c>
      <c r="L24" s="621"/>
      <c r="M24" s="221">
        <f>C23*E24*F23*K24/1000000*L23</f>
        <v>989.01826820899225</v>
      </c>
      <c r="N24" s="391">
        <f>0.6037810576/G23-0.0052863845*G23+0.0000423961*G23^2+0.3189943526</f>
        <v>0.22919567839342808</v>
      </c>
      <c r="O24" s="621"/>
      <c r="P24" s="221">
        <f>C23*E24*F23*N24/1000000*O23</f>
        <v>272.29038833511652</v>
      </c>
      <c r="Q24" s="392">
        <f>1.5469182952/G23-0.0051393982*G23+0.0000404677*G23^2+0.2460289003</f>
        <v>0.19361458064850001</v>
      </c>
      <c r="R24" s="659"/>
      <c r="S24" s="300">
        <f t="shared" ref="S24" si="33">C23*E24*F23*Q24/1000000*R23</f>
        <v>460.53948069253465</v>
      </c>
      <c r="T24" s="665"/>
      <c r="U24" s="665"/>
      <c r="V24" s="665"/>
      <c r="W24" s="666"/>
    </row>
    <row r="25" spans="1:23" ht="17.25">
      <c r="A25" s="571"/>
      <c r="B25" s="540" t="s">
        <v>394</v>
      </c>
      <c r="C25" s="553">
        <f>'ｼｰﾄNO.3（表-3）59頁'!$F$30</f>
        <v>9</v>
      </c>
      <c r="D25" s="138" t="s">
        <v>65</v>
      </c>
      <c r="E25" s="294">
        <f>'ｼｰﾄNO.4（表-4）60頁'!K24</f>
        <v>133</v>
      </c>
      <c r="F25" s="543">
        <f>'ｼｰﾄNO.4（表-4）60頁'!C24/1000</f>
        <v>0.82399999999999995</v>
      </c>
      <c r="G25" s="543">
        <f>F25/('ｼｰﾄNO.4（表-4）60頁'!H24/3600)</f>
        <v>28.523076923076921</v>
      </c>
      <c r="H25" s="219">
        <f>-2.71095565/G25-0.09453616*G25+0.00089493*G25^2+3.15403637</f>
        <v>1.090614460615126</v>
      </c>
      <c r="I25" s="620">
        <v>6000</v>
      </c>
      <c r="J25" s="99">
        <f t="shared" ref="J25" si="34">C25*E25*F25*H25/1000000*I25</f>
        <v>6.4542214782575762</v>
      </c>
      <c r="K25" s="396">
        <f>-0.25063622/G25-0.00657231*G25+0.00005332*G25^2+0.29056757</f>
        <v>0.1376972627690112</v>
      </c>
      <c r="L25" s="620">
        <v>1364600</v>
      </c>
      <c r="M25" s="99">
        <f>C25*E25*F25*K25/1000000*L25</f>
        <v>185.33269294035446</v>
      </c>
      <c r="N25" s="390">
        <f>0.093055673/G25-0.0002682273*G25+0.00000218*G25^2+0.0173678037</f>
        <v>1.4753179146136358E-2</v>
      </c>
      <c r="O25" s="620">
        <v>5506900</v>
      </c>
      <c r="P25" s="99">
        <f>C25*E25*F25*N25/1000000*O25</f>
        <v>80.133510413074973</v>
      </c>
      <c r="Q25" s="390">
        <f>0.0505593958/G25-0.000357176*G25+0.0000031505*G25^2+0.0131649024</f>
        <v>7.3128619003372843E-3</v>
      </c>
      <c r="R25" s="658">
        <v>11025800</v>
      </c>
      <c r="S25" s="99">
        <f t="shared" ref="S25" si="35">C25*E25*F25*Q25/1000000*R25</f>
        <v>79.527777292467448</v>
      </c>
      <c r="T25" s="665"/>
      <c r="U25" s="665"/>
      <c r="V25" s="665"/>
      <c r="W25" s="666"/>
    </row>
    <row r="26" spans="1:23" ht="17.25">
      <c r="A26" s="571"/>
      <c r="B26" s="542"/>
      <c r="C26" s="566"/>
      <c r="D26" s="139" t="s">
        <v>66</v>
      </c>
      <c r="E26" s="298">
        <f>'ｼｰﾄNO.4（表-4）60頁'!K25</f>
        <v>7</v>
      </c>
      <c r="F26" s="544"/>
      <c r="G26" s="544"/>
      <c r="H26" s="218">
        <f>12.28697452/G25-0.05907844*G25+0.00051753*G25^2+2.69979197</f>
        <v>1.8665109593380467</v>
      </c>
      <c r="I26" s="621"/>
      <c r="J26" s="221">
        <f t="shared" ref="J26" si="36">C25*E26*F25*H26/1000000*I25</f>
        <v>0.58136590152694001</v>
      </c>
      <c r="K26" s="397">
        <f>9.45345681/G25-0.14325844*G25+0.00124097*G25^2+5.98054622</f>
        <v>3.2354174852760047</v>
      </c>
      <c r="L26" s="621"/>
      <c r="M26" s="221">
        <f>C25*E26*F25*K26/1000000*L25</f>
        <v>229.19411195956124</v>
      </c>
      <c r="N26" s="391">
        <f>0.6037810576/G25-0.0052863845*G25+0.0000423961*G25^2+0.3189943526</f>
        <v>0.22387058289813042</v>
      </c>
      <c r="O26" s="621"/>
      <c r="P26" s="221">
        <f>C25*E26*F25*N26/1000000*O25</f>
        <v>63.998822177668508</v>
      </c>
      <c r="Q26" s="392">
        <f>1.5469182952/G25-0.0051393982*G25+0.0000404677*G25^2+0.2460289003</f>
        <v>0.18659451238229957</v>
      </c>
      <c r="R26" s="659"/>
      <c r="S26" s="100">
        <f t="shared" ref="S26" si="37">C25*E26*F25*Q26/1000000*R25</f>
        <v>106.80134914832047</v>
      </c>
      <c r="T26" s="665"/>
      <c r="U26" s="665"/>
      <c r="V26" s="665"/>
      <c r="W26" s="666"/>
    </row>
    <row r="27" spans="1:23" ht="17.25">
      <c r="A27" s="571"/>
      <c r="B27" s="540" t="s">
        <v>395</v>
      </c>
      <c r="C27" s="553">
        <f>'ｼｰﾄNO.3（表-3）59頁'!$F$30</f>
        <v>9</v>
      </c>
      <c r="D27" s="138" t="s">
        <v>65</v>
      </c>
      <c r="E27" s="292">
        <f>'ｼｰﾄNO.4（表-4）60頁'!K26</f>
        <v>47.5</v>
      </c>
      <c r="F27" s="543">
        <f>'ｼｰﾄNO.4（表-4）60頁'!C26/1000</f>
        <v>0.91</v>
      </c>
      <c r="G27" s="543">
        <f>F27/('ｼｰﾄNO.4（表-4）60頁'!H26/3600)</f>
        <v>22.90909090909091</v>
      </c>
      <c r="H27" s="219">
        <f>-2.71095565/G27-0.09453616*G27+0.00089493*G27^2+3.15403637</f>
        <v>1.3396464522592815</v>
      </c>
      <c r="I27" s="620">
        <v>6000</v>
      </c>
      <c r="J27" s="99">
        <f t="shared" ref="J27" si="38">C27*E27*F27*H27/1000000*I27</f>
        <v>3.1269357665410022</v>
      </c>
      <c r="K27" s="396">
        <f>-0.25063622/G27-0.00657231*G27+0.00005332*G27^2+0.29056757</f>
        <v>0.15704519892234028</v>
      </c>
      <c r="L27" s="620">
        <v>1364600</v>
      </c>
      <c r="M27" s="99">
        <f>C27*E27*F27*K27/1000000*L27</f>
        <v>83.369566313787772</v>
      </c>
      <c r="N27" s="390">
        <f>0.093055673/G27-0.0002682273*G27+0.00000218*G27^2+0.0173678037</f>
        <v>1.6429035733051291E-2</v>
      </c>
      <c r="O27" s="620">
        <v>5506900</v>
      </c>
      <c r="P27" s="99">
        <f>C27*E27*F27*N27/1000000*O27</f>
        <v>35.196280952096281</v>
      </c>
      <c r="Q27" s="390">
        <f>0.0505593958/G27-0.000357176*G27+0.0000031505*G27^2+0.0131649024</f>
        <v>8.8427484176374117E-3</v>
      </c>
      <c r="R27" s="658">
        <v>11025800</v>
      </c>
      <c r="S27" s="393">
        <f t="shared" ref="S27" si="39">C27*E27*F27*Q27/1000000*R27</f>
        <v>37.929305530127159</v>
      </c>
      <c r="T27" s="665"/>
      <c r="U27" s="665"/>
      <c r="V27" s="665"/>
      <c r="W27" s="666"/>
    </row>
    <row r="28" spans="1:23" ht="17.25">
      <c r="A28" s="571"/>
      <c r="B28" s="542"/>
      <c r="C28" s="566"/>
      <c r="D28" s="139" t="s">
        <v>66</v>
      </c>
      <c r="E28" s="295">
        <f>'ｼｰﾄNO.4（表-4）60頁'!K27</f>
        <v>2.5</v>
      </c>
      <c r="F28" s="544"/>
      <c r="G28" s="544"/>
      <c r="H28" s="218">
        <f>12.28697452/G27-0.05907844*G27+0.00051753*G27^2+2.69979197</f>
        <v>2.154308237381608</v>
      </c>
      <c r="I28" s="621"/>
      <c r="J28" s="221">
        <f t="shared" ref="J28" si="40">C27*E28*F27*H28/1000000*I27</f>
        <v>0.26465676696233059</v>
      </c>
      <c r="K28" s="397">
        <f>9.45345681/G27-0.14325844*G27+0.00124097*G27^2+5.98054622</f>
        <v>3.7625703620867768</v>
      </c>
      <c r="L28" s="621"/>
      <c r="M28" s="221">
        <f>C27*E28*F27*K28/1000000*L27</f>
        <v>105.12691199222152</v>
      </c>
      <c r="N28" s="391">
        <f>0.6037810576/G27-0.0052863845*G27+0.0000423961*G27^2+0.3189943526</f>
        <v>0.24649420636382</v>
      </c>
      <c r="O28" s="621"/>
      <c r="P28" s="221">
        <f>C27*E28*F27*N28/1000000*O27</f>
        <v>27.793152899385248</v>
      </c>
      <c r="Q28" s="392">
        <f>1.5469182952/G27-0.0051393982*G27+0.0000404677*G27^2+0.2460289003</f>
        <v>0.2170526901967598</v>
      </c>
      <c r="R28" s="659"/>
      <c r="S28" s="300">
        <f t="shared" ref="S28" si="41">C27*E28*F27*Q28/1000000*R27</f>
        <v>49.000351318425125</v>
      </c>
      <c r="T28" s="665"/>
      <c r="U28" s="665"/>
      <c r="V28" s="665"/>
      <c r="W28" s="666"/>
    </row>
    <row r="29" spans="1:23" ht="17.25">
      <c r="A29" s="571"/>
      <c r="B29" s="540" t="s">
        <v>236</v>
      </c>
      <c r="C29" s="553">
        <f>'ｼｰﾄNO.3（表-3）59頁'!$F$30</f>
        <v>9</v>
      </c>
      <c r="D29" s="138" t="s">
        <v>65</v>
      </c>
      <c r="E29" s="294">
        <f>'ｼｰﾄNO.4（表-4）60頁'!K28</f>
        <v>743.84999999999991</v>
      </c>
      <c r="F29" s="543">
        <f>'ｼｰﾄNO.4（表-4）60頁'!C28/1000</f>
        <v>0.61699999999999999</v>
      </c>
      <c r="G29" s="543">
        <f>F29/('ｼｰﾄNO.4（表-4）60頁'!H28/3600)</f>
        <v>27.087804878048779</v>
      </c>
      <c r="H29" s="219">
        <f>-2.71095565/G29-0.09453616*G29+0.00089493*G29^2+3.15403637</f>
        <v>1.1498331610692509</v>
      </c>
      <c r="I29" s="620">
        <v>6000</v>
      </c>
      <c r="J29" s="99">
        <f t="shared" ref="J29" si="42">C29*E29*F29*H29/1000000*I29</f>
        <v>28.496998576626869</v>
      </c>
      <c r="K29" s="396">
        <f>-0.25063622/G29-0.00657231*G29+0.00005332*G29^2+0.29056757</f>
        <v>0.14240889225716619</v>
      </c>
      <c r="L29" s="620">
        <v>1364600</v>
      </c>
      <c r="M29" s="99">
        <f>C29*E29*F29*K29/1000000*L29</f>
        <v>802.70416425516157</v>
      </c>
      <c r="N29" s="390">
        <f>0.093055673/G29-0.0002682273*G29+0.00000218*G29^2+0.0173678037</f>
        <v>1.5137022719626959E-2</v>
      </c>
      <c r="O29" s="620">
        <v>5506900</v>
      </c>
      <c r="P29" s="99">
        <f>C29*E29*F29*N29/1000000*O29</f>
        <v>344.31876646484949</v>
      </c>
      <c r="Q29" s="390">
        <f>0.0505593958/G29-0.000357176*G29+0.0000031505*G29^2+0.0131649024</f>
        <v>7.6679656699207913E-3</v>
      </c>
      <c r="R29" s="658">
        <v>11025800</v>
      </c>
      <c r="S29" s="99">
        <f t="shared" ref="S29" si="43">C29*E29*F29*Q29/1000000*R29</f>
        <v>349.22337975384124</v>
      </c>
      <c r="T29" s="665"/>
      <c r="U29" s="665"/>
      <c r="V29" s="665"/>
      <c r="W29" s="666"/>
    </row>
    <row r="30" spans="1:23" ht="17.25">
      <c r="A30" s="572"/>
      <c r="B30" s="542"/>
      <c r="C30" s="566"/>
      <c r="D30" s="139" t="s">
        <v>66</v>
      </c>
      <c r="E30" s="298">
        <f>'ｼｰﾄNO.4（表-4）60頁'!K29</f>
        <v>39.150000000000006</v>
      </c>
      <c r="F30" s="544"/>
      <c r="G30" s="544"/>
      <c r="H30" s="218">
        <f>12.28697452/G29-0.05907844*G29+0.00051753*G29^2+2.69979197</f>
        <v>1.9328219392155921</v>
      </c>
      <c r="I30" s="621"/>
      <c r="J30" s="221">
        <f t="shared" ref="J30" si="44">C29*E30*F29*H30/1000000*I29</f>
        <v>2.5211723576662366</v>
      </c>
      <c r="K30" s="397">
        <f>9.45345681/G29-0.14325844*G29+0.00124097*G29^2+5.98054622</f>
        <v>3.3595433546140332</v>
      </c>
      <c r="L30" s="621"/>
      <c r="M30" s="221">
        <f>C29*E30*F29*K30/1000000*L29</f>
        <v>996.65547491330858</v>
      </c>
      <c r="N30" s="391">
        <f>0.6037810576/G29-0.0052863845*G29+0.0000423961*G29^2+0.3189943526</f>
        <v>0.22919567839342808</v>
      </c>
      <c r="O30" s="621"/>
      <c r="P30" s="221">
        <f>C29*E30*F29*N30/1000000*O29</f>
        <v>274.39301681646873</v>
      </c>
      <c r="Q30" s="392">
        <f>1.5469182952/G29-0.0051393982*G29+0.0000404677*G29^2+0.2460289003</f>
        <v>0.19361458064850001</v>
      </c>
      <c r="R30" s="659"/>
      <c r="S30" s="100">
        <f t="shared" ref="S30" si="45">C29*E30*F29*Q30/1000000*R29</f>
        <v>464.09577011873188</v>
      </c>
      <c r="T30" s="617"/>
      <c r="U30" s="617"/>
      <c r="V30" s="617"/>
      <c r="W30" s="666"/>
    </row>
    <row r="31" spans="1:23" ht="17.25">
      <c r="A31" s="540" t="s">
        <v>974</v>
      </c>
      <c r="B31" s="540" t="s">
        <v>397</v>
      </c>
      <c r="C31" s="553">
        <f>'ｼｰﾄNO.3（表-3）59頁'!$F$30</f>
        <v>9</v>
      </c>
      <c r="D31" s="138" t="s">
        <v>65</v>
      </c>
      <c r="E31" s="292">
        <f>'ｼｰﾄNO.4（表-4）60頁'!K33</f>
        <v>772.34999999999991</v>
      </c>
      <c r="F31" s="543">
        <f>'ｼｰﾄNO.4（表-4）60頁'!C33/1000</f>
        <v>1.054</v>
      </c>
      <c r="G31" s="543">
        <f>F31/('ｼｰﾄNO.4（表-4）60頁'!H33/3600)</f>
        <v>29.643750000000001</v>
      </c>
      <c r="H31" s="219">
        <f>-2.71095565/G31-0.09453616*G31+0.00089493*G31^2+3.15403637</f>
        <v>1.0466003564631281</v>
      </c>
      <c r="I31" s="620">
        <v>6000</v>
      </c>
      <c r="J31" s="99">
        <f>C31*E31*F31*H31/1000000*I31</f>
        <v>46.007581052948531</v>
      </c>
      <c r="K31" s="396">
        <f>-0.25063622/G31-0.00657231*G31+0.00005332*G31^2+0.29056757</f>
        <v>0.13413976437914132</v>
      </c>
      <c r="L31" s="620">
        <v>1364600</v>
      </c>
      <c r="M31" s="99">
        <f>C31*E31*F31*K31/1000000*L31</f>
        <v>1341.0969576596506</v>
      </c>
      <c r="N31" s="390">
        <f>0.093055673/G31-0.0002682273*G31+0.00000218*G31^2+0.0173678037</f>
        <v>1.4471352818974903E-2</v>
      </c>
      <c r="O31" s="620">
        <v>5506900</v>
      </c>
      <c r="P31" s="99">
        <f>C31*E31*F31*N31/1000000*O31</f>
        <v>583.86654776030605</v>
      </c>
      <c r="Q31" s="390">
        <f>0.0505593958/G31-0.000357176*G31+0.0000031505*G31^2+0.0131649024</f>
        <v>7.0509410543262221E-3</v>
      </c>
      <c r="R31" s="658">
        <v>11025800</v>
      </c>
      <c r="S31" s="375">
        <f t="shared" ref="S31" si="46">C31*E31*F31*Q31/1000000*R31</f>
        <v>569.5796516277195</v>
      </c>
      <c r="T31" s="616">
        <f>SUM(J31:J54)+SUM(M31:M54)+SUM(P31:P54)+SUM(S31:S54)</f>
        <v>21682.801938929384</v>
      </c>
      <c r="U31" s="616">
        <f>'ｼｰﾄNO.3（表-3）59頁'!$F$36</f>
        <v>12</v>
      </c>
      <c r="V31" s="616">
        <f>T31*U31</f>
        <v>260193.62326715261</v>
      </c>
      <c r="W31" s="666"/>
    </row>
    <row r="32" spans="1:23" ht="17.25">
      <c r="A32" s="541"/>
      <c r="B32" s="542"/>
      <c r="C32" s="566"/>
      <c r="D32" s="139" t="s">
        <v>66</v>
      </c>
      <c r="E32" s="295">
        <f>'ｼｰﾄNO.4（表-4）60頁'!K34</f>
        <v>40.650000000000006</v>
      </c>
      <c r="F32" s="544"/>
      <c r="G32" s="544"/>
      <c r="H32" s="218">
        <f>12.28697452/G31-0.05907844*G31+0.00051753*G31^2+2.69979197</f>
        <v>1.8177538030136606</v>
      </c>
      <c r="I32" s="621"/>
      <c r="J32" s="221">
        <f>C31*E32*F31*H32/1000000*I31</f>
        <v>4.205619547137033</v>
      </c>
      <c r="K32" s="397">
        <f>9.45345681/G31-0.14325844*G31+0.00124097*G31^2+5.98054622</f>
        <v>3.1432357925564749</v>
      </c>
      <c r="L32" s="621"/>
      <c r="M32" s="221">
        <f>C31*E32*F31*K32/1000000*L31</f>
        <v>1653.96379394012</v>
      </c>
      <c r="N32" s="391">
        <f>0.6037810576/G31-0.0052863845*G31+0.0000423961*G31^2+0.3189943526</f>
        <v>0.21990965021660547</v>
      </c>
      <c r="O32" s="621"/>
      <c r="P32" s="221">
        <f>C31*E32*F31*N32/1000000*O31</f>
        <v>466.97663161180054</v>
      </c>
      <c r="Q32" s="392">
        <f>1.5469182952/G31-0.0051393982*G31+0.0000404677*G31^2+0.2460289003</f>
        <v>0.18142255744628519</v>
      </c>
      <c r="R32" s="659"/>
      <c r="S32" s="300">
        <f t="shared" ref="S32" si="47">C31*E32*F31*Q32/1000000*R31</f>
        <v>771.33860028858635</v>
      </c>
      <c r="T32" s="665"/>
      <c r="U32" s="665"/>
      <c r="V32" s="665"/>
      <c r="W32" s="666"/>
    </row>
    <row r="33" spans="1:23" ht="17.25">
      <c r="A33" s="541"/>
      <c r="B33" s="540" t="s">
        <v>398</v>
      </c>
      <c r="C33" s="553">
        <f>'ｼｰﾄNO.3（表-3）59頁'!$F$30</f>
        <v>9</v>
      </c>
      <c r="D33" s="138" t="s">
        <v>65</v>
      </c>
      <c r="E33" s="294">
        <f>'ｼｰﾄNO.4（表-4）60頁'!K35</f>
        <v>148.19999999999999</v>
      </c>
      <c r="F33" s="543">
        <f>'ｼｰﾄNO.4（表-4）60頁'!C35/1000</f>
        <v>0.76100000000000001</v>
      </c>
      <c r="G33" s="543">
        <f>F33/('ｼｰﾄNO.4（表-4）60頁'!H35/3600)</f>
        <v>27.955102040816328</v>
      </c>
      <c r="H33" s="219">
        <f>-2.71095565/G33-0.09453616*G33+0.00089493*G33^2+3.15403637</f>
        <v>1.1136698404962537</v>
      </c>
      <c r="I33" s="620">
        <v>6000</v>
      </c>
      <c r="J33" s="99">
        <f t="shared" ref="J33" si="48">C33*E33*F33*H33/1000000*I33</f>
        <v>6.7823949966373211</v>
      </c>
      <c r="K33" s="396">
        <f>-0.25063622/G33-0.00657231*G33+0.00005332*G33^2+0.29056757</f>
        <v>0.13954122906549798</v>
      </c>
      <c r="L33" s="620">
        <v>1364600</v>
      </c>
      <c r="M33" s="99">
        <f>C33*E33*F33*K33/1000000*L33</f>
        <v>193.27838171207401</v>
      </c>
      <c r="N33" s="390">
        <f>0.093055673/G33-0.0002682273*G33+0.00000218*G33^2+0.0173678037</f>
        <v>1.4901879955931608E-2</v>
      </c>
      <c r="O33" s="620">
        <v>5506900</v>
      </c>
      <c r="P33" s="99">
        <f>C33*E33*F33*N33/1000000*O33</f>
        <v>83.295899147207066</v>
      </c>
      <c r="Q33" s="390">
        <f>0.0505593958/G33-0.000357176*G33+0.0000031505*G33^2+0.0131649024</f>
        <v>7.450680750222689E-3</v>
      </c>
      <c r="R33" s="658">
        <v>11025800</v>
      </c>
      <c r="S33" s="99">
        <f t="shared" ref="S33" si="49">C33*E33*F33*Q33/1000000*R33</f>
        <v>83.383752416847187</v>
      </c>
      <c r="T33" s="665"/>
      <c r="U33" s="665"/>
      <c r="V33" s="665"/>
      <c r="W33" s="666"/>
    </row>
    <row r="34" spans="1:23" ht="17.25">
      <c r="A34" s="541"/>
      <c r="B34" s="542"/>
      <c r="C34" s="566"/>
      <c r="D34" s="139" t="s">
        <v>66</v>
      </c>
      <c r="E34" s="298">
        <f>'ｼｰﾄNO.4（表-4）60頁'!K36</f>
        <v>7.8000000000000007</v>
      </c>
      <c r="F34" s="544"/>
      <c r="G34" s="544"/>
      <c r="H34" s="218">
        <f>12.28697452/G33-0.05907844*G33+0.00051753*G33^2+2.69979197</f>
        <v>1.8922167930969032</v>
      </c>
      <c r="I34" s="621"/>
      <c r="J34" s="221">
        <f t="shared" ref="J34" si="50">C33*E34*F33*H34/1000000*I33</f>
        <v>0.60651830378508842</v>
      </c>
      <c r="K34" s="397">
        <f>9.45345681/G33-0.14325844*G33+0.00124097*G33^2+5.98054622</f>
        <v>3.2837104457456512</v>
      </c>
      <c r="L34" s="621"/>
      <c r="M34" s="221">
        <f>C33*E34*F33*K34/1000000*L33</f>
        <v>239.38227516401381</v>
      </c>
      <c r="N34" s="391">
        <f>0.6037810576/G33-0.0052863845*G33+0.0000423961*G33^2+0.3189943526</f>
        <v>0.22594320837961243</v>
      </c>
      <c r="O34" s="621"/>
      <c r="P34" s="221">
        <f>C33*E34*F33*N34/1000000*O33</f>
        <v>66.470393611375528</v>
      </c>
      <c r="Q34" s="392">
        <f>1.5469182952/G33-0.0051393982*G33+0.0000404677*G33^2+0.2460289003</f>
        <v>0.18931732307317983</v>
      </c>
      <c r="R34" s="659"/>
      <c r="S34" s="100">
        <f t="shared" ref="S34" si="51">C33*E34*F33*Q34/1000000*R33</f>
        <v>111.51216155921465</v>
      </c>
      <c r="T34" s="665"/>
      <c r="U34" s="665"/>
      <c r="V34" s="665"/>
      <c r="W34" s="666"/>
    </row>
    <row r="35" spans="1:23" ht="17.25">
      <c r="A35" s="541"/>
      <c r="B35" s="540" t="s">
        <v>387</v>
      </c>
      <c r="C35" s="553">
        <f>'ｼｰﾄNO.3（表-3）59頁'!$F$30</f>
        <v>9</v>
      </c>
      <c r="D35" s="138" t="s">
        <v>65</v>
      </c>
      <c r="E35" s="292">
        <f>'ｼｰﾄNO.4（表-4）60頁'!K37</f>
        <v>41.8</v>
      </c>
      <c r="F35" s="543">
        <f>'ｼｰﾄNO.4（表-4）60頁'!C37/1000</f>
        <v>0.82399999999999995</v>
      </c>
      <c r="G35" s="543">
        <f>F35/('ｼｰﾄNO.4（表-4）60頁'!H37/3600)</f>
        <v>24.927731092436975</v>
      </c>
      <c r="H35" s="219">
        <f>-2.71095565/G35-0.09453616*G35+0.00089493*G35^2+3.15403637</f>
        <v>1.2448139350987362</v>
      </c>
      <c r="I35" s="620">
        <v>6000</v>
      </c>
      <c r="J35" s="99">
        <f t="shared" ref="J35" si="52">C35*E35*F35*H35/1000000*I35</f>
        <v>2.3152702677872101</v>
      </c>
      <c r="K35" s="396">
        <f>-0.25063622/G35-0.00657231*G35+0.00005332*G35^2+0.29056757</f>
        <v>0.14981288928616346</v>
      </c>
      <c r="L35" s="620">
        <v>1364600</v>
      </c>
      <c r="M35" s="99">
        <f>C35*E35*F35*K35/1000000*L35</f>
        <v>63.372457634878913</v>
      </c>
      <c r="N35" s="390">
        <f>0.093055673/G35-0.0002682273*G35+0.00000218*G35^2+0.0173678037</f>
        <v>1.5769157934508494E-2</v>
      </c>
      <c r="O35" s="620">
        <v>5506900</v>
      </c>
      <c r="P35" s="99">
        <f>C35*E35*F35*N35/1000000*O35</f>
        <v>26.919171908389597</v>
      </c>
      <c r="Q35" s="390">
        <f>0.0505593958/G35-0.000357176*G35+0.0000031505*G35^2+0.0131649024</f>
        <v>8.2472488906841519E-3</v>
      </c>
      <c r="R35" s="658">
        <v>11025800</v>
      </c>
      <c r="S35" s="393">
        <f t="shared" ref="S35" si="53">C35*E35*F35*Q35/1000000*R35</f>
        <v>28.188061769672274</v>
      </c>
      <c r="T35" s="665"/>
      <c r="U35" s="665"/>
      <c r="V35" s="665"/>
      <c r="W35" s="666"/>
    </row>
    <row r="36" spans="1:23" ht="17.25">
      <c r="A36" s="541"/>
      <c r="B36" s="542"/>
      <c r="C36" s="566"/>
      <c r="D36" s="139" t="s">
        <v>66</v>
      </c>
      <c r="E36" s="295">
        <f>'ｼｰﾄNO.4（表-4）60頁'!K38</f>
        <v>2.2000000000000002</v>
      </c>
      <c r="F36" s="544"/>
      <c r="G36" s="544"/>
      <c r="H36" s="218">
        <f>12.28697452/G35-0.05907844*G35+0.00051753*G35^2+2.69979197</f>
        <v>2.0415932365843594</v>
      </c>
      <c r="I36" s="621"/>
      <c r="J36" s="221">
        <f t="shared" ref="J36" si="54">C35*E36*F35*H36/1000000*I35</f>
        <v>0.19985401184112686</v>
      </c>
      <c r="K36" s="397">
        <f>9.45345681/G35-0.14325844*G35+0.00124097*G35^2+5.98054622</f>
        <v>3.5598014520360097</v>
      </c>
      <c r="L36" s="621"/>
      <c r="M36" s="221">
        <f>C35*E36*F35*K36/1000000*L35</f>
        <v>79.254429618541934</v>
      </c>
      <c r="N36" s="391">
        <f>0.6037810576/G35-0.0052863845*G35+0.0000423961*G35^2+0.3189943526</f>
        <v>0.2377826293315011</v>
      </c>
      <c r="O36" s="621"/>
      <c r="P36" s="221">
        <f>C35*E36*F35*N36/1000000*O35</f>
        <v>21.363859698344267</v>
      </c>
      <c r="Q36" s="392">
        <f>1.5469182952/G35-0.0051393982*G35+0.0000404677*G35^2+0.2460289003</f>
        <v>0.2051177809551076</v>
      </c>
      <c r="R36" s="659"/>
      <c r="S36" s="300">
        <f t="shared" ref="S36" si="55">C35*E36*F35*Q36/1000000*R35</f>
        <v>36.898254488818331</v>
      </c>
      <c r="T36" s="665"/>
      <c r="U36" s="665"/>
      <c r="V36" s="665"/>
      <c r="W36" s="666"/>
    </row>
    <row r="37" spans="1:23" ht="17.25">
      <c r="A37" s="541"/>
      <c r="B37" s="540" t="s">
        <v>399</v>
      </c>
      <c r="C37" s="553">
        <f>'ｼｰﾄNO.3（表-3）59頁'!$F$30</f>
        <v>9</v>
      </c>
      <c r="D37" s="138" t="s">
        <v>65</v>
      </c>
      <c r="E37" s="294">
        <f>'ｼｰﾄNO.4（表-4）60頁'!K39</f>
        <v>753.34999999999991</v>
      </c>
      <c r="F37" s="543">
        <f>'ｼｰﾄNO.4（表-4）60頁'!C39/1000</f>
        <v>1.054</v>
      </c>
      <c r="G37" s="543">
        <f>F37/('ｼｰﾄNO.4（表-4）60頁'!H39/3600)</f>
        <v>30.6</v>
      </c>
      <c r="H37" s="219">
        <f>-2.71095565/G37-0.09453616*G37+0.00089493*G37^2+3.15403637</f>
        <v>1.0106132069045755</v>
      </c>
      <c r="I37" s="620">
        <v>6000</v>
      </c>
      <c r="J37" s="99">
        <f t="shared" ref="J37" si="56">C37*E37*F37*H37/1000000*I37</f>
        <v>43.332738168437615</v>
      </c>
      <c r="K37" s="396">
        <f>-0.25063622/G37-0.00657231*G37+0.00005332*G37^2+0.29056757</f>
        <v>0.13119087305620916</v>
      </c>
      <c r="L37" s="620">
        <v>1364600</v>
      </c>
      <c r="M37" s="99">
        <f>C37*E37*F37*K37/1000000*L37</f>
        <v>1279.3486114663865</v>
      </c>
      <c r="N37" s="390">
        <f>0.093055673/G37-0.0002682273*G37+0.00000218*G37^2+0.0173678037</f>
        <v>1.4242348185359476E-2</v>
      </c>
      <c r="O37" s="620">
        <v>5506900</v>
      </c>
      <c r="P37" s="99">
        <f>C37*E37*F37*N37/1000000*O37</f>
        <v>560.4910756012647</v>
      </c>
      <c r="Q37" s="390">
        <f>0.0505593958/G37-0.000357176*G37+0.0000031505*G37^2+0.0131649024</f>
        <v>6.8375868166013053E-3</v>
      </c>
      <c r="R37" s="658">
        <v>11025800</v>
      </c>
      <c r="S37" s="99">
        <f t="shared" ref="S37" si="57">C37*E37*F37*Q37/1000000*R37</f>
        <v>538.75693922824041</v>
      </c>
      <c r="T37" s="665"/>
      <c r="U37" s="665"/>
      <c r="V37" s="665"/>
      <c r="W37" s="666"/>
    </row>
    <row r="38" spans="1:23" ht="17.25">
      <c r="A38" s="541"/>
      <c r="B38" s="542"/>
      <c r="C38" s="566"/>
      <c r="D38" s="139" t="s">
        <v>66</v>
      </c>
      <c r="E38" s="298">
        <f>'ｼｰﾄNO.4（表-4）60頁'!K40</f>
        <v>39.650000000000006</v>
      </c>
      <c r="F38" s="544"/>
      <c r="G38" s="544"/>
      <c r="H38" s="218">
        <f>12.28697452/G37-0.05907844*G37+0.00051753*G37^2+2.69979197</f>
        <v>1.7781212118326797</v>
      </c>
      <c r="I38" s="621"/>
      <c r="J38" s="221">
        <f t="shared" ref="J38" si="58">C37*E38*F37*H38/1000000*I37</f>
        <v>4.0127206342943182</v>
      </c>
      <c r="K38" s="397">
        <f>9.45345681/G37-0.14325844*G37+0.00124097*G37^2+5.98054622</f>
        <v>3.0677691222588237</v>
      </c>
      <c r="L38" s="621"/>
      <c r="M38" s="221">
        <f>C37*E38*F37*K38/1000000*L37</f>
        <v>1574.5423665336648</v>
      </c>
      <c r="N38" s="391">
        <f>0.6037810576/G37-0.0052863845*G37+0.0000423961*G37^2+0.3189943526</f>
        <v>0.21666040620711108</v>
      </c>
      <c r="O38" s="621"/>
      <c r="P38" s="221">
        <f>C37*E38*F37*N38/1000000*O37</f>
        <v>448.75887974436336</v>
      </c>
      <c r="Q38" s="392">
        <f>1.5469182952/G37-0.0051393982*G37+0.0000404677*G37^2+0.2460289003</f>
        <v>0.17720853641605228</v>
      </c>
      <c r="R38" s="659"/>
      <c r="S38" s="100">
        <f t="shared" ref="S38" si="59">C37*E38*F37*Q38/1000000*R37</f>
        <v>734.88783970596694</v>
      </c>
      <c r="T38" s="665"/>
      <c r="U38" s="665"/>
      <c r="V38" s="665"/>
      <c r="W38" s="666"/>
    </row>
    <row r="39" spans="1:23" ht="17.25">
      <c r="A39" s="541"/>
      <c r="B39" s="540" t="s">
        <v>400</v>
      </c>
      <c r="C39" s="553">
        <f>'ｼｰﾄNO.3（表-3）59頁'!$F$30</f>
        <v>9</v>
      </c>
      <c r="D39" s="138" t="s">
        <v>65</v>
      </c>
      <c r="E39" s="292">
        <f>'ｼｰﾄNO.4（表-4）60頁'!K41</f>
        <v>39.9</v>
      </c>
      <c r="F39" s="543">
        <f>'ｼｰﾄNO.4（表-4）60頁'!C41/1000</f>
        <v>0.84799999999999998</v>
      </c>
      <c r="G39" s="543">
        <f>F39/('ｼｰﾄNO.4（表-4）60頁'!H41/3600)</f>
        <v>22.613333333333333</v>
      </c>
      <c r="H39" s="219">
        <f>-2.71095565/G39-0.09453616*G39+0.00089493*G39^2+3.15403637</f>
        <v>1.3540095598927391</v>
      </c>
      <c r="I39" s="620">
        <v>6000</v>
      </c>
      <c r="J39" s="99">
        <f t="shared" ref="J39" si="60">C39*E39*F39*H39/1000000*I39</f>
        <v>2.4739119500876714</v>
      </c>
      <c r="K39" s="396">
        <f>-0.25063622/G39-0.00657231*G39+0.00005332*G39^2+0.29056757</f>
        <v>0.15812804080870232</v>
      </c>
      <c r="L39" s="620">
        <v>1364600</v>
      </c>
      <c r="M39" s="99">
        <f>C39*E39*F39*K39/1000000*L39</f>
        <v>65.709099336071944</v>
      </c>
      <c r="N39" s="390">
        <f>0.093055673/G39-0.0002682273*G39+0.00000218*G39^2+0.0173678037</f>
        <v>1.6532141236016248E-2</v>
      </c>
      <c r="O39" s="620">
        <v>5506900</v>
      </c>
      <c r="P39" s="99">
        <f>C39*E39*F39*N39/1000000*O39</f>
        <v>27.723467876618166</v>
      </c>
      <c r="Q39" s="390">
        <f>0.0505593958/G39-0.000357176*G39+0.0000031505*G39^2+0.0131649024</f>
        <v>8.9348334326093265E-3</v>
      </c>
      <c r="R39" s="658">
        <v>11025800</v>
      </c>
      <c r="S39" s="393">
        <f t="shared" ref="S39" si="61">C39*E39*F39*Q39/1000000*R39</f>
        <v>29.999072557387411</v>
      </c>
      <c r="T39" s="665"/>
      <c r="U39" s="665"/>
      <c r="V39" s="665"/>
      <c r="W39" s="666"/>
    </row>
    <row r="40" spans="1:23" ht="17.25">
      <c r="A40" s="541"/>
      <c r="B40" s="542"/>
      <c r="C40" s="566"/>
      <c r="D40" s="139" t="s">
        <v>66</v>
      </c>
      <c r="E40" s="295">
        <f>'ｼｰﾄNO.4（表-4）60頁'!K42</f>
        <v>2.1</v>
      </c>
      <c r="F40" s="544"/>
      <c r="G40" s="544"/>
      <c r="H40" s="218">
        <f>12.28697452/G39-0.05907844*G39+0.00051753*G39^2+2.69979197</f>
        <v>2.1718280043001132</v>
      </c>
      <c r="I40" s="621"/>
      <c r="J40" s="221">
        <f t="shared" ref="J40" si="62">C39*E40*F39*H40/1000000*I39</f>
        <v>0.20884993074311264</v>
      </c>
      <c r="K40" s="397">
        <f>9.45345681/G39-0.14325844*G39+0.00124097*G39^2+5.98054622</f>
        <v>3.7936292257149553</v>
      </c>
      <c r="L40" s="621"/>
      <c r="M40" s="221">
        <f>C39*E40*F39*K40/1000000*L39</f>
        <v>82.969391653776412</v>
      </c>
      <c r="N40" s="391">
        <f>0.6037810576/G39-0.0052863845*G39+0.0000423961*G39^2+0.3189943526</f>
        <v>0.24783159171834482</v>
      </c>
      <c r="O40" s="621"/>
      <c r="P40" s="221">
        <f>C39*E40*F39*N40/1000000*O39</f>
        <v>21.873662798094248</v>
      </c>
      <c r="Q40" s="392">
        <f>1.5469182952/G39-0.0051393982*G39+0.0000404677*G39^2+0.2460289003</f>
        <v>0.21891100770692318</v>
      </c>
      <c r="R40" s="659"/>
      <c r="S40" s="300">
        <f t="shared" ref="S40" si="63">C39*E40*F39*Q40/1000000*R39</f>
        <v>38.684355616894578</v>
      </c>
      <c r="T40" s="665"/>
      <c r="U40" s="665"/>
      <c r="V40" s="665"/>
      <c r="W40" s="666"/>
    </row>
    <row r="41" spans="1:23" ht="17.25">
      <c r="A41" s="541"/>
      <c r="B41" s="540" t="s">
        <v>390</v>
      </c>
      <c r="C41" s="553">
        <f>'ｼｰﾄNO.3（表-3）59頁'!$F$30</f>
        <v>9</v>
      </c>
      <c r="D41" s="138" t="s">
        <v>65</v>
      </c>
      <c r="E41" s="294">
        <f>'ｼｰﾄNO.4（表-4）60頁'!K43</f>
        <v>147.25</v>
      </c>
      <c r="F41" s="543">
        <f>'ｼｰﾄNO.4（表-4）60頁'!C43/1000</f>
        <v>0.91</v>
      </c>
      <c r="G41" s="543">
        <f>F41/('ｼｰﾄNO.4（表-4）60頁'!H43/3600)</f>
        <v>30.055045871559635</v>
      </c>
      <c r="H41" s="219">
        <f>-2.71095565/G41-0.09453616*G41+0.00089493*G41^2+3.15403637</f>
        <v>1.030943504144429</v>
      </c>
      <c r="I41" s="620">
        <v>6000</v>
      </c>
      <c r="J41" s="99">
        <f t="shared" ref="J41" si="64">C41*E41*F41*H41/1000000*I41</f>
        <v>7.4597680186160291</v>
      </c>
      <c r="K41" s="396">
        <f>-0.25063622/G41-0.00657231*G41+0.00005332*G41^2+0.29056757</f>
        <v>0.13286151647220723</v>
      </c>
      <c r="L41" s="620">
        <v>1364600</v>
      </c>
      <c r="M41" s="99">
        <f>C41*E41*F41*K41/1000000*L41</f>
        <v>218.6471280922656</v>
      </c>
      <c r="N41" s="390">
        <f>0.093055673/G41-0.0002682273*G41+0.00000218*G41^2+0.0173678037</f>
        <v>1.4371601212148963E-2</v>
      </c>
      <c r="O41" s="620">
        <v>5506900</v>
      </c>
      <c r="P41" s="99">
        <f>C41*E41*F41*N41/1000000*O41</f>
        <v>95.44464196566976</v>
      </c>
      <c r="Q41" s="390">
        <f>0.0505593958/G41-0.000357176*G41+0.0000031505*G41^2+0.0131649024</f>
        <v>6.9580527421799696E-3</v>
      </c>
      <c r="R41" s="658">
        <v>11025800</v>
      </c>
      <c r="S41" s="99">
        <f t="shared" ref="S41" si="65">C41*E41*F41*Q41/1000000*R41</f>
        <v>92.520299940018546</v>
      </c>
      <c r="T41" s="665"/>
      <c r="U41" s="665"/>
      <c r="V41" s="665"/>
      <c r="W41" s="666"/>
    </row>
    <row r="42" spans="1:23" ht="17.25">
      <c r="A42" s="541"/>
      <c r="B42" s="542"/>
      <c r="C42" s="566"/>
      <c r="D42" s="139" t="s">
        <v>66</v>
      </c>
      <c r="E42" s="298">
        <f>'ｼｰﾄNO.4（表-4）60頁'!K44</f>
        <v>7.75</v>
      </c>
      <c r="F42" s="544"/>
      <c r="G42" s="544"/>
      <c r="H42" s="218">
        <f>12.28697452/G41-0.05907844*G41+0.00051753*G41^2+2.69979197</f>
        <v>1.8004902841038075</v>
      </c>
      <c r="I42" s="621"/>
      <c r="J42" s="221">
        <f t="shared" ref="J42" si="66">C41*E42*F41*H42/1000000*I41</f>
        <v>0.68568971734667361</v>
      </c>
      <c r="K42" s="397">
        <f>9.45345681/G41-0.14325844*G41+0.00124097*G41^2+5.98054622</f>
        <v>3.11042070390894</v>
      </c>
      <c r="L42" s="621"/>
      <c r="M42" s="221">
        <f>C41*E42*F41*K42/1000000*L41</f>
        <v>269.40776267464264</v>
      </c>
      <c r="N42" s="391">
        <f>0.6037810576/G41-0.0052863845*G41+0.0000423961*G41^2+0.3189943526</f>
        <v>0.21849764061943486</v>
      </c>
      <c r="O42" s="621"/>
      <c r="P42" s="221">
        <f>C41*E42*F41*N42/1000000*O41</f>
        <v>76.372946499504039</v>
      </c>
      <c r="Q42" s="392">
        <f>1.5469182952/G41-0.0051393982*G41+0.0000404677*G41^2+0.2460289003</f>
        <v>0.17958826277182416</v>
      </c>
      <c r="R42" s="659"/>
      <c r="S42" s="100">
        <f t="shared" ref="S42" si="67">C41*E42*F41*Q42/1000000*R41</f>
        <v>125.68216812965736</v>
      </c>
      <c r="T42" s="665"/>
      <c r="U42" s="665"/>
      <c r="V42" s="665"/>
      <c r="W42" s="666"/>
    </row>
    <row r="43" spans="1:23" ht="17.25">
      <c r="A43" s="541"/>
      <c r="B43" s="540" t="s">
        <v>391</v>
      </c>
      <c r="C43" s="553">
        <f>'ｼｰﾄNO.3（表-3）59頁'!$F$30</f>
        <v>9</v>
      </c>
      <c r="D43" s="138" t="s">
        <v>65</v>
      </c>
      <c r="E43" s="292">
        <f>'ｼｰﾄNO.4（表-4）60頁'!K45</f>
        <v>54.15</v>
      </c>
      <c r="F43" s="543">
        <f>'ｼｰﾄNO.4（表-4）60頁'!C45/1000</f>
        <v>0.76100000000000001</v>
      </c>
      <c r="G43" s="543">
        <f>F43/('ｼｰﾄNO.4（表-4）60頁'!H45/3600)</f>
        <v>22.641322314049585</v>
      </c>
      <c r="H43" s="219">
        <f>-2.71095565/G43-0.09453616*G43+0.00089493*G43^2+3.15403637</f>
        <v>1.3526453340932798</v>
      </c>
      <c r="I43" s="620">
        <v>6000</v>
      </c>
      <c r="J43" s="99">
        <f t="shared" ref="J43" si="68">C43*E43*F43*H43/1000000*I43</f>
        <v>3.009960638502263</v>
      </c>
      <c r="K43" s="396">
        <f>-0.25063622/G43-0.00657231*G43+0.00005332*G43^2+0.29056757</f>
        <v>0.15802532673956798</v>
      </c>
      <c r="L43" s="620">
        <v>1364600</v>
      </c>
      <c r="M43" s="99">
        <f>C43*E43*F43*K43/1000000*L43</f>
        <v>79.975633903976131</v>
      </c>
      <c r="N43" s="390">
        <f>0.093055673/G43-0.0002682273*G43+0.00000218*G43^2+0.0173678037</f>
        <v>1.6522308062949704E-2</v>
      </c>
      <c r="O43" s="620">
        <v>5506900</v>
      </c>
      <c r="P43" s="99">
        <f>C43*E43*F43*N43/1000000*O43</f>
        <v>33.744541593523081</v>
      </c>
      <c r="Q43" s="390">
        <f>0.0505593958/G43-0.000357176*G43+0.0000031505*G43^2+0.0131649024</f>
        <v>8.9260630618954936E-3</v>
      </c>
      <c r="R43" s="658">
        <v>11025800</v>
      </c>
      <c r="S43" s="393">
        <f t="shared" ref="S43" si="69">C43*E43*F43*Q43/1000000*R43</f>
        <v>36.500237334720801</v>
      </c>
      <c r="T43" s="665"/>
      <c r="U43" s="665"/>
      <c r="V43" s="665"/>
      <c r="W43" s="666"/>
    </row>
    <row r="44" spans="1:23" ht="17.25">
      <c r="A44" s="541"/>
      <c r="B44" s="542"/>
      <c r="C44" s="566"/>
      <c r="D44" s="139" t="s">
        <v>66</v>
      </c>
      <c r="E44" s="295">
        <f>'ｼｰﾄNO.4（表-4）60頁'!K46</f>
        <v>2.85</v>
      </c>
      <c r="F44" s="544"/>
      <c r="G44" s="544"/>
      <c r="H44" s="218">
        <f>12.28697452/G43-0.05907844*G43+0.00051753*G43^2+2.69979197</f>
        <v>2.1701582938483104</v>
      </c>
      <c r="I44" s="621"/>
      <c r="J44" s="221">
        <f t="shared" ref="J44" si="70">C43*E44*F43*H44/1000000*I43</f>
        <v>0.2541643820430971</v>
      </c>
      <c r="K44" s="397">
        <f>9.45345681/G43-0.14325844*G43+0.00124097*G43^2+5.98054622</f>
        <v>3.7906746331889405</v>
      </c>
      <c r="L44" s="621"/>
      <c r="M44" s="221">
        <f>C43*E44*F43*K44/1000000*L43</f>
        <v>100.97035941474519</v>
      </c>
      <c r="N44" s="391">
        <f>0.6037810576/G43-0.0052863845*G43+0.0000423961*G43^2+0.3189943526</f>
        <v>0.24770432489329391</v>
      </c>
      <c r="O44" s="621"/>
      <c r="P44" s="221">
        <f>C43*E44*F43*N44/1000000*O43</f>
        <v>26.6264216916239</v>
      </c>
      <c r="Q44" s="392">
        <f>1.5469182952/G43-0.0051393982*G43+0.0000404677*G43^2+0.2460289003</f>
        <v>0.21873385436050466</v>
      </c>
      <c r="R44" s="659"/>
      <c r="S44" s="300">
        <f t="shared" ref="S44" si="71">C43*E44*F43*Q44/1000000*R43</f>
        <v>47.0758469765792</v>
      </c>
      <c r="T44" s="665"/>
      <c r="U44" s="665"/>
      <c r="V44" s="665"/>
      <c r="W44" s="666"/>
    </row>
    <row r="45" spans="1:23" ht="17.25">
      <c r="A45" s="541"/>
      <c r="B45" s="540" t="s">
        <v>401</v>
      </c>
      <c r="C45" s="553">
        <f>'ｼｰﾄNO.3（表-3）59頁'!$F$30</f>
        <v>9</v>
      </c>
      <c r="D45" s="138" t="s">
        <v>65</v>
      </c>
      <c r="E45" s="294">
        <f>'ｼｰﾄNO.4（表-4）60頁'!K47</f>
        <v>158.65</v>
      </c>
      <c r="F45" s="543">
        <f>'ｼｰﾄNO.4（表-4）60頁'!C47/1000</f>
        <v>0.84799999999999998</v>
      </c>
      <c r="G45" s="543">
        <f>F45/('ｼｰﾄNO.4（表-4）60頁'!H47/3600)</f>
        <v>27.752727272727274</v>
      </c>
      <c r="H45" s="219">
        <f>-2.71095565/G45-0.09453616*G45+0.00089493*G45^2+3.15403637</f>
        <v>1.1220051084994243</v>
      </c>
      <c r="I45" s="620">
        <v>6000</v>
      </c>
      <c r="J45" s="99">
        <f t="shared" ref="J45" si="72">C45*E45*F45*H45/1000000*I45</f>
        <v>8.1512558103415547</v>
      </c>
      <c r="K45" s="396">
        <f>-0.25063622/G45-0.00657231*G45+0.00005332*G45^2+0.29056757</f>
        <v>0.14020479834032479</v>
      </c>
      <c r="L45" s="620">
        <v>1364600</v>
      </c>
      <c r="M45" s="99">
        <f>C45*E45*F45*K45/1000000*L45</f>
        <v>231.6576690649122</v>
      </c>
      <c r="N45" s="390">
        <f>0.093055673/G45-0.0002682273*G45+0.00000218*G45^2+0.0173678037</f>
        <v>1.4955858884601478E-2</v>
      </c>
      <c r="O45" s="620">
        <v>5506900</v>
      </c>
      <c r="P45" s="99">
        <f>C45*E45*F45*N45/1000000*O45</f>
        <v>99.72337933332777</v>
      </c>
      <c r="Q45" s="390">
        <f>0.0505593958/G45-0.000357176*G45+0.0000031505*G45^2+0.0131649024</f>
        <v>7.5006342486333456E-3</v>
      </c>
      <c r="R45" s="658">
        <v>11025800</v>
      </c>
      <c r="S45" s="99">
        <f t="shared" ref="S45" si="73">C45*E45*F45*Q45/1000000*R45</f>
        <v>100.13514641204659</v>
      </c>
      <c r="T45" s="665"/>
      <c r="U45" s="665"/>
      <c r="V45" s="665"/>
      <c r="W45" s="666"/>
    </row>
    <row r="46" spans="1:23" ht="17.25">
      <c r="A46" s="541"/>
      <c r="B46" s="542"/>
      <c r="C46" s="566"/>
      <c r="D46" s="139" t="s">
        <v>66</v>
      </c>
      <c r="E46" s="298">
        <f>'ｼｰﾄNO.4（表-4）60頁'!K48</f>
        <v>8.35</v>
      </c>
      <c r="F46" s="544"/>
      <c r="G46" s="544"/>
      <c r="H46" s="218">
        <f>12.28697452/G45-0.05907844*G45+0.00051753*G45^2+2.69979197</f>
        <v>1.9015432666737011</v>
      </c>
      <c r="I46" s="621"/>
      <c r="J46" s="221">
        <f t="shared" ref="J46" si="74">C45*E46*F45*H46/1000000*I45</f>
        <v>0.72708016838380962</v>
      </c>
      <c r="K46" s="397">
        <f>9.45345681/G45-0.14325844*G45+0.00124097*G45^2+5.98054622</f>
        <v>3.3011777457107159</v>
      </c>
      <c r="L46" s="621"/>
      <c r="M46" s="221">
        <f>C45*E46*F45*K46/1000000*L45</f>
        <v>287.07747177998772</v>
      </c>
      <c r="N46" s="391">
        <f>0.6037810576/G45-0.0052863845*G45+0.0000423961*G45^2+0.3189943526</f>
        <v>0.22669256740568483</v>
      </c>
      <c r="O46" s="621"/>
      <c r="P46" s="221">
        <f>C45*E46*F45*N46/1000000*O45</f>
        <v>79.555334928478416</v>
      </c>
      <c r="Q46" s="392">
        <f>1.5469182952/G45-0.0051393982*G45+0.0000404677*G45^2+0.2460289003</f>
        <v>0.190304692944187</v>
      </c>
      <c r="R46" s="659"/>
      <c r="S46" s="100">
        <f t="shared" ref="S46" si="75">C45*E46*F45*Q46/1000000*R45</f>
        <v>133.71632920900811</v>
      </c>
      <c r="T46" s="665"/>
      <c r="U46" s="665"/>
      <c r="V46" s="665"/>
      <c r="W46" s="666"/>
    </row>
    <row r="47" spans="1:23" ht="17.25">
      <c r="A47" s="541"/>
      <c r="B47" s="540" t="s">
        <v>393</v>
      </c>
      <c r="C47" s="553">
        <f>'ｼｰﾄNO.3（表-3）59頁'!$F$30</f>
        <v>9</v>
      </c>
      <c r="D47" s="138" t="s">
        <v>65</v>
      </c>
      <c r="E47" s="292">
        <f>'ｼｰﾄNO.4（表-4）60頁'!K49</f>
        <v>738.15</v>
      </c>
      <c r="F47" s="543">
        <f>'ｼｰﾄNO.4（表-4）60頁'!C49/1000</f>
        <v>0.61699999999999999</v>
      </c>
      <c r="G47" s="543">
        <f>F47/('ｼｰﾄNO.4（表-4）60頁'!H49/3600)</f>
        <v>27.087804878048779</v>
      </c>
      <c r="H47" s="219">
        <f>-2.71095565/G47-0.09453616*G47+0.00089493*G47^2+3.15403637</f>
        <v>1.1498331610692509</v>
      </c>
      <c r="I47" s="620">
        <v>6000</v>
      </c>
      <c r="J47" s="99">
        <f t="shared" ref="J47" si="76">C47*E47*F47*H47/1000000*I47</f>
        <v>28.278630771441986</v>
      </c>
      <c r="K47" s="396">
        <f>-0.25063622/G47-0.00657231*G47+0.00005332*G47^2+0.29056757</f>
        <v>0.14240889225716619</v>
      </c>
      <c r="L47" s="620">
        <v>1364600</v>
      </c>
      <c r="M47" s="99">
        <f>C47*E47*F47*K47/1000000*L47</f>
        <v>796.55317449075415</v>
      </c>
      <c r="N47" s="390">
        <f>0.093055673/G47-0.0002682273*G47+0.00000218*G47^2+0.0173678037</f>
        <v>1.5137022719626959E-2</v>
      </c>
      <c r="O47" s="620">
        <v>5506900</v>
      </c>
      <c r="P47" s="99">
        <f>C47*E47*F47*N47/1000000*O47</f>
        <v>341.68030848427588</v>
      </c>
      <c r="Q47" s="390">
        <f>0.0505593958/G47-0.000357176*G47+0.0000031505*G47^2+0.0131649024</f>
        <v>7.6679656699207913E-3</v>
      </c>
      <c r="R47" s="658">
        <v>11025800</v>
      </c>
      <c r="S47" s="393">
        <f t="shared" ref="S47" si="77">C47*E47*F47*Q47/1000000*R47</f>
        <v>346.54733852967382</v>
      </c>
      <c r="T47" s="665"/>
      <c r="U47" s="665"/>
      <c r="V47" s="665"/>
      <c r="W47" s="666"/>
    </row>
    <row r="48" spans="1:23" ht="17.25">
      <c r="A48" s="541"/>
      <c r="B48" s="542"/>
      <c r="C48" s="566"/>
      <c r="D48" s="139" t="s">
        <v>66</v>
      </c>
      <c r="E48" s="295">
        <f>'ｼｰﾄNO.4（表-4）60頁'!K50</f>
        <v>38.85</v>
      </c>
      <c r="F48" s="544"/>
      <c r="G48" s="544"/>
      <c r="H48" s="218">
        <f>12.28697452/G47-0.05907844*G47+0.00051753*G47^2+2.69979197</f>
        <v>1.9328219392155921</v>
      </c>
      <c r="I48" s="621"/>
      <c r="J48" s="221">
        <f t="shared" ref="J48" si="78">C47*E48*F47*H48/1000000*I47</f>
        <v>2.5018530292550012</v>
      </c>
      <c r="K48" s="397">
        <f>9.45345681/G47-0.14325844*G47+0.00124097*G47^2+5.98054622</f>
        <v>3.3595433546140332</v>
      </c>
      <c r="L48" s="621"/>
      <c r="M48" s="221">
        <f>C47*E48*F47*K48/1000000*L47</f>
        <v>989.01826820899225</v>
      </c>
      <c r="N48" s="391">
        <f>0.6037810576/G47-0.0052863845*G47+0.0000423961*G47^2+0.3189943526</f>
        <v>0.22919567839342808</v>
      </c>
      <c r="O48" s="621"/>
      <c r="P48" s="221">
        <f>C47*E48*F47*N48/1000000*O47</f>
        <v>272.29038833511652</v>
      </c>
      <c r="Q48" s="392">
        <f>1.5469182952/G47-0.0051393982*G47+0.0000404677*G47^2+0.2460289003</f>
        <v>0.19361458064850001</v>
      </c>
      <c r="R48" s="659"/>
      <c r="S48" s="300">
        <f t="shared" ref="S48" si="79">C47*E48*F47*Q48/1000000*R47</f>
        <v>460.53948069253465</v>
      </c>
      <c r="T48" s="665"/>
      <c r="U48" s="665"/>
      <c r="V48" s="665"/>
      <c r="W48" s="666"/>
    </row>
    <row r="49" spans="1:23" ht="17.25">
      <c r="A49" s="541"/>
      <c r="B49" s="540" t="s">
        <v>394</v>
      </c>
      <c r="C49" s="553">
        <f>'ｼｰﾄNO.3（表-3）59頁'!$F$30</f>
        <v>9</v>
      </c>
      <c r="D49" s="138" t="s">
        <v>65</v>
      </c>
      <c r="E49" s="294">
        <f>'ｼｰﾄNO.4（表-4）60頁'!K51</f>
        <v>133</v>
      </c>
      <c r="F49" s="543">
        <f>'ｼｰﾄNO.4（表-4）60頁'!C51/1000</f>
        <v>0.82399999999999995</v>
      </c>
      <c r="G49" s="543">
        <f>F49/('ｼｰﾄNO.4（表-4）60頁'!H51/3600)</f>
        <v>28.523076923076921</v>
      </c>
      <c r="H49" s="219">
        <f>-2.71095565/G49-0.09453616*G49+0.00089493*G49^2+3.15403637</f>
        <v>1.090614460615126</v>
      </c>
      <c r="I49" s="620">
        <v>6000</v>
      </c>
      <c r="J49" s="99">
        <f t="shared" ref="J49" si="80">C49*E49*F49*H49/1000000*I49</f>
        <v>6.4542214782575762</v>
      </c>
      <c r="K49" s="396">
        <f>-0.25063622/G49-0.00657231*G49+0.00005332*G49^2+0.29056757</f>
        <v>0.1376972627690112</v>
      </c>
      <c r="L49" s="620">
        <v>1364600</v>
      </c>
      <c r="M49" s="99">
        <f>C49*E49*F49*K49/1000000*L49</f>
        <v>185.33269294035446</v>
      </c>
      <c r="N49" s="390">
        <f>0.093055673/G49-0.0002682273*G49+0.00000218*G49^2+0.0173678037</f>
        <v>1.4753179146136358E-2</v>
      </c>
      <c r="O49" s="620">
        <v>5506900</v>
      </c>
      <c r="P49" s="99">
        <f>C49*E49*F49*N49/1000000*O49</f>
        <v>80.133510413074973</v>
      </c>
      <c r="Q49" s="390">
        <f>0.0505593958/G49-0.000357176*G49+0.0000031505*G49^2+0.0131649024</f>
        <v>7.3128619003372843E-3</v>
      </c>
      <c r="R49" s="658">
        <v>11025800</v>
      </c>
      <c r="S49" s="99">
        <f t="shared" ref="S49" si="81">C49*E49*F49*Q49/1000000*R49</f>
        <v>79.527777292467448</v>
      </c>
      <c r="T49" s="665"/>
      <c r="U49" s="665"/>
      <c r="V49" s="665"/>
      <c r="W49" s="666"/>
    </row>
    <row r="50" spans="1:23" ht="17.25">
      <c r="A50" s="541"/>
      <c r="B50" s="542"/>
      <c r="C50" s="566"/>
      <c r="D50" s="139" t="s">
        <v>66</v>
      </c>
      <c r="E50" s="298">
        <f>'ｼｰﾄNO.4（表-4）60頁'!K52</f>
        <v>7</v>
      </c>
      <c r="F50" s="544"/>
      <c r="G50" s="544"/>
      <c r="H50" s="218">
        <f>12.28697452/G49-0.05907844*G49+0.00051753*G49^2+2.69979197</f>
        <v>1.8665109593380467</v>
      </c>
      <c r="I50" s="621"/>
      <c r="J50" s="221">
        <f t="shared" ref="J50" si="82">C49*E50*F49*H50/1000000*I49</f>
        <v>0.58136590152694001</v>
      </c>
      <c r="K50" s="397">
        <f>9.45345681/G49-0.14325844*G49+0.00124097*G49^2+5.98054622</f>
        <v>3.2354174852760047</v>
      </c>
      <c r="L50" s="621"/>
      <c r="M50" s="221">
        <f>C49*E50*F49*K50/1000000*L49</f>
        <v>229.19411195956124</v>
      </c>
      <c r="N50" s="391">
        <f>0.6037810576/G49-0.0052863845*G49+0.0000423961*G49^2+0.3189943526</f>
        <v>0.22387058289813042</v>
      </c>
      <c r="O50" s="621"/>
      <c r="P50" s="221">
        <f>C49*E50*F49*N50/1000000*O49</f>
        <v>63.998822177668508</v>
      </c>
      <c r="Q50" s="392">
        <f>1.5469182952/G49-0.0051393982*G49+0.0000404677*G49^2+0.2460289003</f>
        <v>0.18659451238229957</v>
      </c>
      <c r="R50" s="659"/>
      <c r="S50" s="100">
        <f t="shared" ref="S50" si="83">C49*E50*F49*Q50/1000000*R49</f>
        <v>106.80134914832047</v>
      </c>
      <c r="T50" s="665"/>
      <c r="U50" s="665"/>
      <c r="V50" s="665"/>
      <c r="W50" s="666"/>
    </row>
    <row r="51" spans="1:23" ht="17.25">
      <c r="A51" s="541"/>
      <c r="B51" s="540" t="s">
        <v>395</v>
      </c>
      <c r="C51" s="553">
        <f>'ｼｰﾄNO.3（表-3）59頁'!$F$30</f>
        <v>9</v>
      </c>
      <c r="D51" s="138" t="s">
        <v>65</v>
      </c>
      <c r="E51" s="292">
        <f>'ｼｰﾄNO.4（表-4）60頁'!K53</f>
        <v>47.5</v>
      </c>
      <c r="F51" s="543">
        <f>'ｼｰﾄNO.4（表-4）60頁'!C53/1000</f>
        <v>0.91</v>
      </c>
      <c r="G51" s="543">
        <f>F51/('ｼｰﾄNO.4（表-4）60頁'!H53/3600)</f>
        <v>22.90909090909091</v>
      </c>
      <c r="H51" s="219">
        <f>-2.71095565/G51-0.09453616*G51+0.00089493*G51^2+3.15403637</f>
        <v>1.3396464522592815</v>
      </c>
      <c r="I51" s="620">
        <v>6000</v>
      </c>
      <c r="J51" s="99">
        <f t="shared" ref="J51" si="84">C51*E51*F51*H51/1000000*I51</f>
        <v>3.1269357665410022</v>
      </c>
      <c r="K51" s="396">
        <f>-0.25063622/G51-0.00657231*G51+0.00005332*G51^2+0.29056757</f>
        <v>0.15704519892234028</v>
      </c>
      <c r="L51" s="620">
        <v>1364600</v>
      </c>
      <c r="M51" s="99">
        <f>C51*E51*F51*K51/1000000*L51</f>
        <v>83.369566313787772</v>
      </c>
      <c r="N51" s="390">
        <f>0.093055673/G51-0.0002682273*G51+0.00000218*G51^2+0.0173678037</f>
        <v>1.6429035733051291E-2</v>
      </c>
      <c r="O51" s="620">
        <v>5506900</v>
      </c>
      <c r="P51" s="99">
        <f>C51*E51*F51*N51/1000000*O51</f>
        <v>35.196280952096281</v>
      </c>
      <c r="Q51" s="390">
        <f>0.0505593958/G51-0.000357176*G51+0.0000031505*G51^2+0.0131649024</f>
        <v>8.8427484176374117E-3</v>
      </c>
      <c r="R51" s="658">
        <v>11025800</v>
      </c>
      <c r="S51" s="393">
        <f t="shared" ref="S51" si="85">C51*E51*F51*Q51/1000000*R51</f>
        <v>37.929305530127159</v>
      </c>
      <c r="T51" s="665"/>
      <c r="U51" s="665"/>
      <c r="V51" s="665"/>
      <c r="W51" s="666"/>
    </row>
    <row r="52" spans="1:23" ht="17.25">
      <c r="A52" s="541"/>
      <c r="B52" s="542"/>
      <c r="C52" s="566"/>
      <c r="D52" s="139" t="s">
        <v>66</v>
      </c>
      <c r="E52" s="295">
        <f>'ｼｰﾄNO.4（表-4）60頁'!K54</f>
        <v>2.5</v>
      </c>
      <c r="F52" s="544"/>
      <c r="G52" s="544"/>
      <c r="H52" s="218">
        <f>12.28697452/G51-0.05907844*G51+0.00051753*G51^2+2.69979197</f>
        <v>2.154308237381608</v>
      </c>
      <c r="I52" s="621"/>
      <c r="J52" s="221">
        <f t="shared" ref="J52" si="86">C51*E52*F51*H52/1000000*I51</f>
        <v>0.26465676696233059</v>
      </c>
      <c r="K52" s="397">
        <f>9.45345681/G51-0.14325844*G51+0.00124097*G51^2+5.98054622</f>
        <v>3.7625703620867768</v>
      </c>
      <c r="L52" s="621"/>
      <c r="M52" s="221">
        <f>C51*E52*F51*K52/1000000*L51</f>
        <v>105.12691199222152</v>
      </c>
      <c r="N52" s="391">
        <f>0.6037810576/G51-0.0052863845*G51+0.0000423961*G51^2+0.3189943526</f>
        <v>0.24649420636382</v>
      </c>
      <c r="O52" s="621"/>
      <c r="P52" s="221">
        <f>C51*E52*F51*N52/1000000*O51</f>
        <v>27.793152899385248</v>
      </c>
      <c r="Q52" s="392">
        <f>1.5469182952/G51-0.0051393982*G51+0.0000404677*G51^2+0.2460289003</f>
        <v>0.2170526901967598</v>
      </c>
      <c r="R52" s="659"/>
      <c r="S52" s="300">
        <f t="shared" ref="S52" si="87">C51*E52*F51*Q52/1000000*R51</f>
        <v>49.000351318425125</v>
      </c>
      <c r="T52" s="665"/>
      <c r="U52" s="665"/>
      <c r="V52" s="665"/>
      <c r="W52" s="666"/>
    </row>
    <row r="53" spans="1:23" ht="17.25">
      <c r="A53" s="541"/>
      <c r="B53" s="540" t="s">
        <v>396</v>
      </c>
      <c r="C53" s="553">
        <f>'ｼｰﾄNO.3（表-3）59頁'!$F$30</f>
        <v>9</v>
      </c>
      <c r="D53" s="138" t="s">
        <v>65</v>
      </c>
      <c r="E53" s="294">
        <f>'ｼｰﾄNO.4（表-4）60頁'!K55</f>
        <v>743.84999999999991</v>
      </c>
      <c r="F53" s="543">
        <f>'ｼｰﾄNO.4（表-4）60頁'!C55/1000</f>
        <v>0.61699999999999999</v>
      </c>
      <c r="G53" s="543">
        <f>F53/('ｼｰﾄNO.4（表-4）60頁'!H55/3600)</f>
        <v>27.087804878048779</v>
      </c>
      <c r="H53" s="219">
        <f>-2.71095565/G53-0.09453616*G53+0.00089493*G53^2+3.15403637</f>
        <v>1.1498331610692509</v>
      </c>
      <c r="I53" s="620">
        <v>6000</v>
      </c>
      <c r="J53" s="99">
        <f t="shared" ref="J53" si="88">C53*E53*F53*H53/1000000*I53</f>
        <v>28.496998576626869</v>
      </c>
      <c r="K53" s="396">
        <f>-0.25063622/G53-0.00657231*G53+0.00005332*G53^2+0.29056757</f>
        <v>0.14240889225716619</v>
      </c>
      <c r="L53" s="620">
        <v>1364600</v>
      </c>
      <c r="M53" s="99">
        <f>C53*E53*F53*K53/1000000*L53</f>
        <v>802.70416425516157</v>
      </c>
      <c r="N53" s="390">
        <f>0.093055673/G53-0.0002682273*G53+0.00000218*G53^2+0.0173678037</f>
        <v>1.5137022719626959E-2</v>
      </c>
      <c r="O53" s="620">
        <v>5506900</v>
      </c>
      <c r="P53" s="99">
        <f>C53*E53*F53*N53/1000000*O53</f>
        <v>344.31876646484949</v>
      </c>
      <c r="Q53" s="390">
        <f>0.0505593958/G53-0.000357176*G53+0.0000031505*G53^2+0.0131649024</f>
        <v>7.6679656699207913E-3</v>
      </c>
      <c r="R53" s="658">
        <v>11025800</v>
      </c>
      <c r="S53" s="99">
        <f t="shared" ref="S53" si="89">C53*E53*F53*Q53/1000000*R53</f>
        <v>349.22337975384124</v>
      </c>
      <c r="T53" s="665"/>
      <c r="U53" s="665"/>
      <c r="V53" s="665"/>
      <c r="W53" s="666"/>
    </row>
    <row r="54" spans="1:23" ht="17.25">
      <c r="A54" s="542"/>
      <c r="B54" s="542"/>
      <c r="C54" s="566"/>
      <c r="D54" s="139" t="s">
        <v>66</v>
      </c>
      <c r="E54" s="298">
        <f>'ｼｰﾄNO.4（表-4）60頁'!K56</f>
        <v>39.150000000000006</v>
      </c>
      <c r="F54" s="544"/>
      <c r="G54" s="544"/>
      <c r="H54" s="218">
        <f>12.28697452/G53-0.05907844*G53+0.00051753*G53^2+2.69979197</f>
        <v>1.9328219392155921</v>
      </c>
      <c r="I54" s="621"/>
      <c r="J54" s="221">
        <f t="shared" ref="J54" si="90">C53*E54*F53*H54/1000000*I53</f>
        <v>2.5211723576662366</v>
      </c>
      <c r="K54" s="397">
        <f>9.45345681/G53-0.14325844*G53+0.00124097*G53^2+5.98054622</f>
        <v>3.3595433546140332</v>
      </c>
      <c r="L54" s="621"/>
      <c r="M54" s="221">
        <f>C53*E54*F53*K54/1000000*L53</f>
        <v>996.65547491330858</v>
      </c>
      <c r="N54" s="391">
        <f>0.6037810576/G53-0.0052863845*G53+0.0000423961*G53^2+0.3189943526</f>
        <v>0.22919567839342808</v>
      </c>
      <c r="O54" s="621"/>
      <c r="P54" s="221">
        <f>C53*E54*F53*N54/1000000*O53</f>
        <v>274.39301681646873</v>
      </c>
      <c r="Q54" s="392">
        <f>1.5469182952/G53-0.0051393982*G53+0.0000404677*G53^2+0.2460289003</f>
        <v>0.19361458064850001</v>
      </c>
      <c r="R54" s="659"/>
      <c r="S54" s="100">
        <f t="shared" ref="S54" si="91">C53*E54*F53*Q54/1000000*R53</f>
        <v>464.09577011873188</v>
      </c>
      <c r="T54" s="617"/>
      <c r="U54" s="617"/>
      <c r="V54" s="617"/>
      <c r="W54" s="666"/>
    </row>
    <row r="55" spans="1:23" ht="17.25">
      <c r="A55" s="540" t="s">
        <v>975</v>
      </c>
      <c r="B55" s="540" t="s">
        <v>224</v>
      </c>
      <c r="C55" s="553">
        <f>'ｼｰﾄNO.3（表-3）59頁'!$F$30</f>
        <v>9</v>
      </c>
      <c r="D55" s="138" t="s">
        <v>65</v>
      </c>
      <c r="E55" s="292">
        <f>'ｼｰﾄNO.4（表-4）60頁'!K60</f>
        <v>772.34999999999991</v>
      </c>
      <c r="F55" s="543">
        <f>'ｼｰﾄNO.4（表-4）60頁'!C60/1000</f>
        <v>1.054</v>
      </c>
      <c r="G55" s="543">
        <f>F55/('ｼｰﾄNO.4（表-4）60頁'!H60/3600)</f>
        <v>29.643750000000001</v>
      </c>
      <c r="H55" s="219">
        <f>-2.71095565/G55-0.09453616*G55+0.00089493*G55^2+3.15403637</f>
        <v>1.0466003564631281</v>
      </c>
      <c r="I55" s="620">
        <v>6000</v>
      </c>
      <c r="J55" s="99">
        <f>C55*E55*F55*H55/1000000*I55</f>
        <v>46.007581052948531</v>
      </c>
      <c r="K55" s="396">
        <f>-0.25063622/G55-0.00657231*G55+0.00005332*G55^2+0.29056757</f>
        <v>0.13413976437914132</v>
      </c>
      <c r="L55" s="620">
        <v>1364600</v>
      </c>
      <c r="M55" s="99">
        <f>C55*E55*F55*K55/1000000*L55</f>
        <v>1341.0969576596506</v>
      </c>
      <c r="N55" s="390">
        <f>0.093055673/G55-0.0002682273*G55+0.00000218*G55^2+0.0173678037</f>
        <v>1.4471352818974903E-2</v>
      </c>
      <c r="O55" s="620">
        <v>5506900</v>
      </c>
      <c r="P55" s="99">
        <f>C55*E55*F55*N55/1000000*O55</f>
        <v>583.86654776030605</v>
      </c>
      <c r="Q55" s="390">
        <f>0.0505593958/G55-0.000357176*G55+0.0000031505*G55^2+0.0131649024</f>
        <v>7.0509410543262221E-3</v>
      </c>
      <c r="R55" s="658">
        <v>11025800</v>
      </c>
      <c r="S55" s="375">
        <f>C55*E55*F55*Q55/1000000*R55</f>
        <v>569.5796516277195</v>
      </c>
      <c r="T55" s="616">
        <f>SUM(J55:J78)+SUM(M55:M78)+SUM(P55:P78)+SUM(S55:S78)</f>
        <v>21682.801938929384</v>
      </c>
      <c r="U55" s="616">
        <f>'ｼｰﾄNO.3（表-3）59頁'!$F$37</f>
        <v>16</v>
      </c>
      <c r="V55" s="616">
        <f>T55*U55</f>
        <v>346924.83102287014</v>
      </c>
      <c r="W55" s="666"/>
    </row>
    <row r="56" spans="1:23" ht="17.25">
      <c r="A56" s="541"/>
      <c r="B56" s="542"/>
      <c r="C56" s="566"/>
      <c r="D56" s="139" t="s">
        <v>66</v>
      </c>
      <c r="E56" s="295">
        <f>'ｼｰﾄNO.4（表-4）60頁'!K61</f>
        <v>40.650000000000006</v>
      </c>
      <c r="F56" s="544"/>
      <c r="G56" s="544"/>
      <c r="H56" s="218">
        <f>12.28697452/G55-0.05907844*G55+0.00051753*G55^2+2.69979197</f>
        <v>1.8177538030136606</v>
      </c>
      <c r="I56" s="621"/>
      <c r="J56" s="221">
        <f>C55*E56*F55*H56/1000000*I55</f>
        <v>4.205619547137033</v>
      </c>
      <c r="K56" s="397">
        <f>9.45345681/G55-0.14325844*G55+0.00124097*G55^2+5.98054622</f>
        <v>3.1432357925564749</v>
      </c>
      <c r="L56" s="621"/>
      <c r="M56" s="221">
        <f>C55*E56*F55*K56/1000000*L55</f>
        <v>1653.96379394012</v>
      </c>
      <c r="N56" s="391">
        <f>0.6037810576/G55-0.0052863845*G55+0.0000423961*G55^2+0.3189943526</f>
        <v>0.21990965021660547</v>
      </c>
      <c r="O56" s="621"/>
      <c r="P56" s="221">
        <f>C55*E56*F55*N56/1000000*O55</f>
        <v>466.97663161180054</v>
      </c>
      <c r="Q56" s="392">
        <f>1.5469182952/G55-0.0051393982*G55+0.0000404677*G55^2+0.2460289003</f>
        <v>0.18142255744628519</v>
      </c>
      <c r="R56" s="659"/>
      <c r="S56" s="221">
        <f>C55*E56*F55*Q56/1000000*R55</f>
        <v>771.33860028858635</v>
      </c>
      <c r="T56" s="665"/>
      <c r="U56" s="665"/>
      <c r="V56" s="665"/>
      <c r="W56" s="666"/>
    </row>
    <row r="57" spans="1:23" ht="17.25">
      <c r="A57" s="541"/>
      <c r="B57" s="540" t="s">
        <v>257</v>
      </c>
      <c r="C57" s="553">
        <f>'ｼｰﾄNO.3（表-3）59頁'!$F$30</f>
        <v>9</v>
      </c>
      <c r="D57" s="138" t="s">
        <v>65</v>
      </c>
      <c r="E57" s="294">
        <f>'ｼｰﾄNO.4（表-4）60頁'!K62</f>
        <v>148.19999999999999</v>
      </c>
      <c r="F57" s="543">
        <f>'ｼｰﾄNO.4（表-4）60頁'!C62/1000</f>
        <v>0.76100000000000001</v>
      </c>
      <c r="G57" s="543">
        <f>F57/('ｼｰﾄNO.4（表-4）60頁'!H62/3600)</f>
        <v>27.955102040816328</v>
      </c>
      <c r="H57" s="219">
        <f>-2.71095565/G57-0.09453616*G57+0.00089493*G57^2+3.15403637</f>
        <v>1.1136698404962537</v>
      </c>
      <c r="I57" s="620">
        <v>6000</v>
      </c>
      <c r="J57" s="99">
        <f t="shared" ref="J57" si="92">C57*E57*F57*H57/1000000*I57</f>
        <v>6.7823949966373211</v>
      </c>
      <c r="K57" s="396">
        <f>-0.25063622/G57-0.00657231*G57+0.00005332*G57^2+0.29056757</f>
        <v>0.13954122906549798</v>
      </c>
      <c r="L57" s="620">
        <v>1364600</v>
      </c>
      <c r="M57" s="99">
        <f>C57*E57*F57*K57/1000000*L57</f>
        <v>193.27838171207401</v>
      </c>
      <c r="N57" s="390">
        <f>0.093055673/G57-0.0002682273*G57+0.00000218*G57^2+0.0173678037</f>
        <v>1.4901879955931608E-2</v>
      </c>
      <c r="O57" s="620">
        <v>5506900</v>
      </c>
      <c r="P57" s="99">
        <f>C57*E57*F57*N57/1000000*O57</f>
        <v>83.295899147207066</v>
      </c>
      <c r="Q57" s="390">
        <f>0.0505593958/G57-0.000357176*G57+0.0000031505*G57^2+0.0131649024</f>
        <v>7.450680750222689E-3</v>
      </c>
      <c r="R57" s="658">
        <v>11025800</v>
      </c>
      <c r="S57" s="394">
        <f t="shared" ref="S57" si="93">C57*E57*F57*Q57/1000000*R57</f>
        <v>83.383752416847187</v>
      </c>
      <c r="T57" s="665"/>
      <c r="U57" s="665"/>
      <c r="V57" s="665"/>
      <c r="W57" s="666"/>
    </row>
    <row r="58" spans="1:23" ht="17.25">
      <c r="A58" s="541"/>
      <c r="B58" s="542"/>
      <c r="C58" s="566"/>
      <c r="D58" s="139" t="s">
        <v>66</v>
      </c>
      <c r="E58" s="298">
        <f>'ｼｰﾄNO.4（表-4）60頁'!K63</f>
        <v>7.8000000000000007</v>
      </c>
      <c r="F58" s="544"/>
      <c r="G58" s="544"/>
      <c r="H58" s="218">
        <f>12.28697452/G57-0.05907844*G57+0.00051753*G57^2+2.69979197</f>
        <v>1.8922167930969032</v>
      </c>
      <c r="I58" s="621"/>
      <c r="J58" s="221">
        <f t="shared" ref="J58" si="94">C57*E58*F57*H58/1000000*I57</f>
        <v>0.60651830378508842</v>
      </c>
      <c r="K58" s="397">
        <f>9.45345681/G57-0.14325844*G57+0.00124097*G57^2+5.98054622</f>
        <v>3.2837104457456512</v>
      </c>
      <c r="L58" s="621"/>
      <c r="M58" s="221">
        <f>C57*E58*F57*K58/1000000*L57</f>
        <v>239.38227516401381</v>
      </c>
      <c r="N58" s="391">
        <f>0.6037810576/G57-0.0052863845*G57+0.0000423961*G57^2+0.3189943526</f>
        <v>0.22594320837961243</v>
      </c>
      <c r="O58" s="621"/>
      <c r="P58" s="221">
        <f>C57*E58*F57*N58/1000000*O57</f>
        <v>66.470393611375528</v>
      </c>
      <c r="Q58" s="392">
        <f>1.5469182952/G57-0.0051393982*G57+0.0000404677*G57^2+0.2460289003</f>
        <v>0.18931732307317983</v>
      </c>
      <c r="R58" s="659"/>
      <c r="S58" s="393">
        <f t="shared" ref="S58" si="95">C57*E58*F57*Q58/1000000*R57</f>
        <v>111.51216155921465</v>
      </c>
      <c r="T58" s="665"/>
      <c r="U58" s="665"/>
      <c r="V58" s="665"/>
      <c r="W58" s="666"/>
    </row>
    <row r="59" spans="1:23" ht="17.25">
      <c r="A59" s="541"/>
      <c r="B59" s="540" t="s">
        <v>387</v>
      </c>
      <c r="C59" s="553">
        <f>'ｼｰﾄNO.3（表-3）59頁'!$F$30</f>
        <v>9</v>
      </c>
      <c r="D59" s="138" t="s">
        <v>65</v>
      </c>
      <c r="E59" s="292">
        <f>'ｼｰﾄNO.4（表-4）60頁'!K64</f>
        <v>41.8</v>
      </c>
      <c r="F59" s="543">
        <f>'ｼｰﾄNO.4（表-4）60頁'!C64/1000</f>
        <v>0.82399999999999995</v>
      </c>
      <c r="G59" s="543">
        <f>F59/('ｼｰﾄNO.4（表-4）60頁'!H64/3600)</f>
        <v>24.927731092436975</v>
      </c>
      <c r="H59" s="219">
        <f>-2.71095565/G59-0.09453616*G59+0.00089493*G59^2+3.15403637</f>
        <v>1.2448139350987362</v>
      </c>
      <c r="I59" s="620">
        <v>6000</v>
      </c>
      <c r="J59" s="99">
        <f t="shared" ref="J59" si="96">C59*E59*F59*H59/1000000*I59</f>
        <v>2.3152702677872101</v>
      </c>
      <c r="K59" s="396">
        <f>-0.25063622/G59-0.00657231*G59+0.00005332*G59^2+0.29056757</f>
        <v>0.14981288928616346</v>
      </c>
      <c r="L59" s="620">
        <v>1364600</v>
      </c>
      <c r="M59" s="99">
        <f>C59*E59*F59*K59/1000000*L59</f>
        <v>63.372457634878913</v>
      </c>
      <c r="N59" s="390">
        <f>0.093055673/G59-0.0002682273*G59+0.00000218*G59^2+0.0173678037</f>
        <v>1.5769157934508494E-2</v>
      </c>
      <c r="O59" s="620">
        <v>5506900</v>
      </c>
      <c r="P59" s="99">
        <f>C59*E59*F59*N59/1000000*O59</f>
        <v>26.919171908389597</v>
      </c>
      <c r="Q59" s="390">
        <f>0.0505593958/G59-0.000357176*G59+0.0000031505*G59^2+0.0131649024</f>
        <v>8.2472488906841519E-3</v>
      </c>
      <c r="R59" s="658">
        <v>11025800</v>
      </c>
      <c r="S59" s="375">
        <f t="shared" ref="S59" si="97">C59*E59*F59*Q59/1000000*R59</f>
        <v>28.188061769672274</v>
      </c>
      <c r="T59" s="665"/>
      <c r="U59" s="665"/>
      <c r="V59" s="665"/>
      <c r="W59" s="666"/>
    </row>
    <row r="60" spans="1:23" ht="17.25">
      <c r="A60" s="541"/>
      <c r="B60" s="542"/>
      <c r="C60" s="566"/>
      <c r="D60" s="139" t="s">
        <v>66</v>
      </c>
      <c r="E60" s="295">
        <f>'ｼｰﾄNO.4（表-4）60頁'!K65</f>
        <v>2.2000000000000002</v>
      </c>
      <c r="F60" s="544"/>
      <c r="G60" s="544"/>
      <c r="H60" s="218">
        <f>12.28697452/G59-0.05907844*G59+0.00051753*G59^2+2.69979197</f>
        <v>2.0415932365843594</v>
      </c>
      <c r="I60" s="621"/>
      <c r="J60" s="221">
        <f t="shared" ref="J60" si="98">C59*E60*F59*H60/1000000*I59</f>
        <v>0.19985401184112686</v>
      </c>
      <c r="K60" s="397">
        <f>9.45345681/G59-0.14325844*G59+0.00124097*G59^2+5.98054622</f>
        <v>3.5598014520360097</v>
      </c>
      <c r="L60" s="621"/>
      <c r="M60" s="221">
        <f>C59*E60*F59*K60/1000000*L59</f>
        <v>79.254429618541934</v>
      </c>
      <c r="N60" s="391">
        <f>0.6037810576/G59-0.0052863845*G59+0.0000423961*G59^2+0.3189943526</f>
        <v>0.2377826293315011</v>
      </c>
      <c r="O60" s="621"/>
      <c r="P60" s="221">
        <f>C59*E60*F59*N60/1000000*O59</f>
        <v>21.363859698344267</v>
      </c>
      <c r="Q60" s="392">
        <f>1.5469182952/G59-0.0051393982*G59+0.0000404677*G59^2+0.2460289003</f>
        <v>0.2051177809551076</v>
      </c>
      <c r="R60" s="659"/>
      <c r="S60" s="221">
        <f t="shared" ref="S60" si="99">C59*E60*F59*Q60/1000000*R59</f>
        <v>36.898254488818331</v>
      </c>
      <c r="T60" s="665"/>
      <c r="U60" s="665"/>
      <c r="V60" s="665"/>
      <c r="W60" s="666"/>
    </row>
    <row r="61" spans="1:23" ht="17.25">
      <c r="A61" s="541"/>
      <c r="B61" s="540" t="s">
        <v>388</v>
      </c>
      <c r="C61" s="553">
        <f>'ｼｰﾄNO.3（表-3）59頁'!$F$30</f>
        <v>9</v>
      </c>
      <c r="D61" s="138" t="s">
        <v>65</v>
      </c>
      <c r="E61" s="294">
        <f>'ｼｰﾄNO.4（表-4）60頁'!K66</f>
        <v>753.34999999999991</v>
      </c>
      <c r="F61" s="543">
        <f>'ｼｰﾄNO.4（表-4）60頁'!C66/1000</f>
        <v>1.054</v>
      </c>
      <c r="G61" s="543">
        <f>F61/('ｼｰﾄNO.4（表-4）60頁'!H66/3600)</f>
        <v>30.6</v>
      </c>
      <c r="H61" s="219">
        <f>-2.71095565/G61-0.09453616*G61+0.00089493*G61^2+3.15403637</f>
        <v>1.0106132069045755</v>
      </c>
      <c r="I61" s="620">
        <v>6000</v>
      </c>
      <c r="J61" s="99">
        <f t="shared" ref="J61" si="100">C61*E61*F61*H61/1000000*I61</f>
        <v>43.332738168437615</v>
      </c>
      <c r="K61" s="396">
        <f>-0.25063622/G61-0.00657231*G61+0.00005332*G61^2+0.29056757</f>
        <v>0.13119087305620916</v>
      </c>
      <c r="L61" s="620">
        <v>1364600</v>
      </c>
      <c r="M61" s="99">
        <f>C61*E61*F61*K61/1000000*L61</f>
        <v>1279.3486114663865</v>
      </c>
      <c r="N61" s="390">
        <f>0.093055673/G61-0.0002682273*G61+0.00000218*G61^2+0.0173678037</f>
        <v>1.4242348185359476E-2</v>
      </c>
      <c r="O61" s="620">
        <v>5506900</v>
      </c>
      <c r="P61" s="99">
        <f>C61*E61*F61*N61/1000000*O61</f>
        <v>560.4910756012647</v>
      </c>
      <c r="Q61" s="390">
        <f>0.0505593958/G61-0.000357176*G61+0.0000031505*G61^2+0.0131649024</f>
        <v>6.8375868166013053E-3</v>
      </c>
      <c r="R61" s="658">
        <v>11025800</v>
      </c>
      <c r="S61" s="394">
        <f t="shared" ref="S61" si="101">C61*E61*F61*Q61/1000000*R61</f>
        <v>538.75693922824041</v>
      </c>
      <c r="T61" s="665"/>
      <c r="U61" s="665"/>
      <c r="V61" s="665"/>
      <c r="W61" s="666"/>
    </row>
    <row r="62" spans="1:23" ht="17.25">
      <c r="A62" s="541"/>
      <c r="B62" s="542"/>
      <c r="C62" s="566"/>
      <c r="D62" s="139" t="s">
        <v>66</v>
      </c>
      <c r="E62" s="298">
        <f>'ｼｰﾄNO.4（表-4）60頁'!K67</f>
        <v>39.650000000000006</v>
      </c>
      <c r="F62" s="544"/>
      <c r="G62" s="544"/>
      <c r="H62" s="218">
        <f>12.28697452/G61-0.05907844*G61+0.00051753*G61^2+2.69979197</f>
        <v>1.7781212118326797</v>
      </c>
      <c r="I62" s="621"/>
      <c r="J62" s="221">
        <f t="shared" ref="J62" si="102">C61*E62*F61*H62/1000000*I61</f>
        <v>4.0127206342943182</v>
      </c>
      <c r="K62" s="397">
        <f>9.45345681/G61-0.14325844*G61+0.00124097*G61^2+5.98054622</f>
        <v>3.0677691222588237</v>
      </c>
      <c r="L62" s="621"/>
      <c r="M62" s="221">
        <f>C61*E62*F61*K62/1000000*L61</f>
        <v>1574.5423665336648</v>
      </c>
      <c r="N62" s="391">
        <f>0.6037810576/G61-0.0052863845*G61+0.0000423961*G61^2+0.3189943526</f>
        <v>0.21666040620711108</v>
      </c>
      <c r="O62" s="621"/>
      <c r="P62" s="221">
        <f>C61*E62*F61*N62/1000000*O61</f>
        <v>448.75887974436336</v>
      </c>
      <c r="Q62" s="392">
        <f>1.5469182952/G61-0.0051393982*G61+0.0000404677*G61^2+0.2460289003</f>
        <v>0.17720853641605228</v>
      </c>
      <c r="R62" s="659"/>
      <c r="S62" s="393">
        <f t="shared" ref="S62" si="103">C61*E62*F61*Q62/1000000*R61</f>
        <v>734.88783970596694</v>
      </c>
      <c r="T62" s="665"/>
      <c r="U62" s="665"/>
      <c r="V62" s="665"/>
      <c r="W62" s="666"/>
    </row>
    <row r="63" spans="1:23" ht="17.25">
      <c r="A63" s="541"/>
      <c r="B63" s="540" t="s">
        <v>389</v>
      </c>
      <c r="C63" s="553">
        <f>'ｼｰﾄNO.3（表-3）59頁'!$F$30</f>
        <v>9</v>
      </c>
      <c r="D63" s="138" t="s">
        <v>65</v>
      </c>
      <c r="E63" s="292">
        <f>'ｼｰﾄNO.4（表-4）60頁'!K68</f>
        <v>39.9</v>
      </c>
      <c r="F63" s="543">
        <f>'ｼｰﾄNO.4（表-4）60頁'!C68/1000</f>
        <v>0.84799999999999998</v>
      </c>
      <c r="G63" s="543">
        <f>F63/('ｼｰﾄNO.4（表-4）60頁'!H68/3600)</f>
        <v>22.613333333333333</v>
      </c>
      <c r="H63" s="219">
        <f>-2.71095565/G63-0.09453616*G63+0.00089493*G63^2+3.15403637</f>
        <v>1.3540095598927391</v>
      </c>
      <c r="I63" s="620">
        <v>6000</v>
      </c>
      <c r="J63" s="99">
        <f t="shared" ref="J63" si="104">C63*E63*F63*H63/1000000*I63</f>
        <v>2.4739119500876714</v>
      </c>
      <c r="K63" s="396">
        <f>-0.25063622/G63-0.00657231*G63+0.00005332*G63^2+0.29056757</f>
        <v>0.15812804080870232</v>
      </c>
      <c r="L63" s="620">
        <v>1364600</v>
      </c>
      <c r="M63" s="99">
        <f>C63*E63*F63*K63/1000000*L63</f>
        <v>65.709099336071944</v>
      </c>
      <c r="N63" s="390">
        <f>0.093055673/G63-0.0002682273*G63+0.00000218*G63^2+0.0173678037</f>
        <v>1.6532141236016248E-2</v>
      </c>
      <c r="O63" s="620">
        <v>5506900</v>
      </c>
      <c r="P63" s="99">
        <f>C63*E63*F63*N63/1000000*O63</f>
        <v>27.723467876618166</v>
      </c>
      <c r="Q63" s="390">
        <f>0.0505593958/G63-0.000357176*G63+0.0000031505*G63^2+0.0131649024</f>
        <v>8.9348334326093265E-3</v>
      </c>
      <c r="R63" s="658">
        <v>11025800</v>
      </c>
      <c r="S63" s="375">
        <f t="shared" ref="S63" si="105">C63*E63*F63*Q63/1000000*R63</f>
        <v>29.999072557387411</v>
      </c>
      <c r="T63" s="665"/>
      <c r="U63" s="665"/>
      <c r="V63" s="665"/>
      <c r="W63" s="666"/>
    </row>
    <row r="64" spans="1:23" ht="17.25">
      <c r="A64" s="541"/>
      <c r="B64" s="542"/>
      <c r="C64" s="566"/>
      <c r="D64" s="139" t="s">
        <v>66</v>
      </c>
      <c r="E64" s="295">
        <f>'ｼｰﾄNO.4（表-4）60頁'!K69</f>
        <v>2.1</v>
      </c>
      <c r="F64" s="544"/>
      <c r="G64" s="544"/>
      <c r="H64" s="218">
        <f>12.28697452/G63-0.05907844*G63+0.00051753*G63^2+2.69979197</f>
        <v>2.1718280043001132</v>
      </c>
      <c r="I64" s="621"/>
      <c r="J64" s="221">
        <f t="shared" ref="J64" si="106">C63*E64*F63*H64/1000000*I63</f>
        <v>0.20884993074311264</v>
      </c>
      <c r="K64" s="397">
        <f>9.45345681/G63-0.14325844*G63+0.00124097*G63^2+5.98054622</f>
        <v>3.7936292257149553</v>
      </c>
      <c r="L64" s="621"/>
      <c r="M64" s="221">
        <f>C63*E64*F63*K64/1000000*L63</f>
        <v>82.969391653776412</v>
      </c>
      <c r="N64" s="391">
        <f>0.6037810576/G63-0.0052863845*G63+0.0000423961*G63^2+0.3189943526</f>
        <v>0.24783159171834482</v>
      </c>
      <c r="O64" s="621"/>
      <c r="P64" s="221">
        <f>C63*E64*F63*N64/1000000*O63</f>
        <v>21.873662798094248</v>
      </c>
      <c r="Q64" s="392">
        <f>1.5469182952/G63-0.0051393982*G63+0.0000404677*G63^2+0.2460289003</f>
        <v>0.21891100770692318</v>
      </c>
      <c r="R64" s="659"/>
      <c r="S64" s="221">
        <f t="shared" ref="S64" si="107">C63*E64*F63*Q64/1000000*R63</f>
        <v>38.684355616894578</v>
      </c>
      <c r="T64" s="665"/>
      <c r="U64" s="665"/>
      <c r="V64" s="665"/>
      <c r="W64" s="666"/>
    </row>
    <row r="65" spans="1:23" ht="17.25">
      <c r="A65" s="541"/>
      <c r="B65" s="540" t="s">
        <v>390</v>
      </c>
      <c r="C65" s="553">
        <f>'ｼｰﾄNO.3（表-3）59頁'!$F$30</f>
        <v>9</v>
      </c>
      <c r="D65" s="138" t="s">
        <v>65</v>
      </c>
      <c r="E65" s="294">
        <f>'ｼｰﾄNO.4（表-4）60頁'!K70</f>
        <v>147.25</v>
      </c>
      <c r="F65" s="543">
        <f>'ｼｰﾄNO.4（表-4）60頁'!C70/1000</f>
        <v>0.91</v>
      </c>
      <c r="G65" s="543">
        <f>F65/('ｼｰﾄNO.4（表-4）60頁'!H70/3600)</f>
        <v>30.055045871559635</v>
      </c>
      <c r="H65" s="219">
        <f>-2.71095565/G65-0.09453616*G65+0.00089493*G65^2+3.15403637</f>
        <v>1.030943504144429</v>
      </c>
      <c r="I65" s="620">
        <v>6000</v>
      </c>
      <c r="J65" s="99">
        <f t="shared" ref="J65" si="108">C65*E65*F65*H65/1000000*I65</f>
        <v>7.4597680186160291</v>
      </c>
      <c r="K65" s="396">
        <f>-0.25063622/G65-0.00657231*G65+0.00005332*G65^2+0.29056757</f>
        <v>0.13286151647220723</v>
      </c>
      <c r="L65" s="620">
        <v>1364600</v>
      </c>
      <c r="M65" s="99">
        <f>C65*E65*F65*K65/1000000*L65</f>
        <v>218.6471280922656</v>
      </c>
      <c r="N65" s="390">
        <f>0.093055673/G65-0.0002682273*G65+0.00000218*G65^2+0.0173678037</f>
        <v>1.4371601212148963E-2</v>
      </c>
      <c r="O65" s="620">
        <v>5506900</v>
      </c>
      <c r="P65" s="99">
        <f>C65*E65*F65*N65/1000000*O65</f>
        <v>95.44464196566976</v>
      </c>
      <c r="Q65" s="390">
        <f>0.0505593958/G65-0.000357176*G65+0.0000031505*G65^2+0.0131649024</f>
        <v>6.9580527421799696E-3</v>
      </c>
      <c r="R65" s="658">
        <v>11025800</v>
      </c>
      <c r="S65" s="394">
        <f t="shared" ref="S65" si="109">C65*E65*F65*Q65/1000000*R65</f>
        <v>92.520299940018546</v>
      </c>
      <c r="T65" s="665"/>
      <c r="U65" s="665"/>
      <c r="V65" s="665"/>
      <c r="W65" s="666"/>
    </row>
    <row r="66" spans="1:23" ht="17.25">
      <c r="A66" s="541"/>
      <c r="B66" s="542"/>
      <c r="C66" s="566"/>
      <c r="D66" s="139" t="s">
        <v>66</v>
      </c>
      <c r="E66" s="298">
        <f>'ｼｰﾄNO.4（表-4）60頁'!K71</f>
        <v>7.75</v>
      </c>
      <c r="F66" s="544"/>
      <c r="G66" s="544"/>
      <c r="H66" s="218">
        <f>12.28697452/G65-0.05907844*G65+0.00051753*G65^2+2.69979197</f>
        <v>1.8004902841038075</v>
      </c>
      <c r="I66" s="621"/>
      <c r="J66" s="221">
        <f t="shared" ref="J66" si="110">C65*E66*F65*H66/1000000*I65</f>
        <v>0.68568971734667361</v>
      </c>
      <c r="K66" s="397">
        <f>9.45345681/G65-0.14325844*G65+0.00124097*G65^2+5.98054622</f>
        <v>3.11042070390894</v>
      </c>
      <c r="L66" s="621"/>
      <c r="M66" s="221">
        <f>C65*E66*F65*K66/1000000*L65</f>
        <v>269.40776267464264</v>
      </c>
      <c r="N66" s="391">
        <f>0.6037810576/G65-0.0052863845*G65+0.0000423961*G65^2+0.3189943526</f>
        <v>0.21849764061943486</v>
      </c>
      <c r="O66" s="621"/>
      <c r="P66" s="221">
        <f>C65*E66*F65*N66/1000000*O65</f>
        <v>76.372946499504039</v>
      </c>
      <c r="Q66" s="392">
        <f>1.5469182952/G65-0.0051393982*G65+0.0000404677*G65^2+0.2460289003</f>
        <v>0.17958826277182416</v>
      </c>
      <c r="R66" s="659"/>
      <c r="S66" s="393">
        <f t="shared" ref="S66" si="111">C65*E66*F65*Q66/1000000*R65</f>
        <v>125.68216812965736</v>
      </c>
      <c r="T66" s="665"/>
      <c r="U66" s="665"/>
      <c r="V66" s="665"/>
      <c r="W66" s="666"/>
    </row>
    <row r="67" spans="1:23" ht="17.25">
      <c r="A67" s="541"/>
      <c r="B67" s="540" t="s">
        <v>391</v>
      </c>
      <c r="C67" s="553">
        <f>'ｼｰﾄNO.3（表-3）59頁'!$F$30</f>
        <v>9</v>
      </c>
      <c r="D67" s="138" t="s">
        <v>65</v>
      </c>
      <c r="E67" s="292">
        <f>'ｼｰﾄNO.4（表-4）60頁'!K72</f>
        <v>54.15</v>
      </c>
      <c r="F67" s="543">
        <f>'ｼｰﾄNO.4（表-4）60頁'!C72/1000</f>
        <v>0.76100000000000001</v>
      </c>
      <c r="G67" s="543">
        <f>F67/('ｼｰﾄNO.4（表-4）60頁'!H72/3600)</f>
        <v>22.641322314049585</v>
      </c>
      <c r="H67" s="219">
        <f>-2.71095565/G67-0.09453616*G67+0.00089493*G67^2+3.15403637</f>
        <v>1.3526453340932798</v>
      </c>
      <c r="I67" s="620">
        <v>6000</v>
      </c>
      <c r="J67" s="99">
        <f t="shared" ref="J67" si="112">C67*E67*F67*H67/1000000*I67</f>
        <v>3.009960638502263</v>
      </c>
      <c r="K67" s="396">
        <f>-0.25063622/G67-0.00657231*G67+0.00005332*G67^2+0.29056757</f>
        <v>0.15802532673956798</v>
      </c>
      <c r="L67" s="620">
        <v>1364600</v>
      </c>
      <c r="M67" s="99">
        <f>C67*E67*F67*K67/1000000*L67</f>
        <v>79.975633903976131</v>
      </c>
      <c r="N67" s="390">
        <f>0.093055673/G67-0.0002682273*G67+0.00000218*G67^2+0.0173678037</f>
        <v>1.6522308062949704E-2</v>
      </c>
      <c r="O67" s="620">
        <v>5506900</v>
      </c>
      <c r="P67" s="99">
        <f>C67*E67*F67*N67/1000000*O67</f>
        <v>33.744541593523081</v>
      </c>
      <c r="Q67" s="390">
        <f>0.0505593958/G67-0.000357176*G67+0.0000031505*G67^2+0.0131649024</f>
        <v>8.9260630618954936E-3</v>
      </c>
      <c r="R67" s="658">
        <v>11025800</v>
      </c>
      <c r="S67" s="375">
        <f t="shared" ref="S67" si="113">C67*E67*F67*Q67/1000000*R67</f>
        <v>36.500237334720801</v>
      </c>
      <c r="T67" s="665"/>
      <c r="U67" s="665"/>
      <c r="V67" s="665"/>
      <c r="W67" s="666"/>
    </row>
    <row r="68" spans="1:23" ht="17.25">
      <c r="A68" s="541"/>
      <c r="B68" s="542"/>
      <c r="C68" s="566"/>
      <c r="D68" s="139" t="s">
        <v>66</v>
      </c>
      <c r="E68" s="295">
        <f>'ｼｰﾄNO.4（表-4）60頁'!K73</f>
        <v>2.85</v>
      </c>
      <c r="F68" s="544"/>
      <c r="G68" s="544"/>
      <c r="H68" s="218">
        <f>12.28697452/G67-0.05907844*G67+0.00051753*G67^2+2.69979197</f>
        <v>2.1701582938483104</v>
      </c>
      <c r="I68" s="621"/>
      <c r="J68" s="221">
        <f t="shared" ref="J68" si="114">C67*E68*F67*H68/1000000*I67</f>
        <v>0.2541643820430971</v>
      </c>
      <c r="K68" s="397">
        <f>9.45345681/G67-0.14325844*G67+0.00124097*G67^2+5.98054622</f>
        <v>3.7906746331889405</v>
      </c>
      <c r="L68" s="621"/>
      <c r="M68" s="221">
        <f>C67*E68*F67*K68/1000000*L67</f>
        <v>100.97035941474519</v>
      </c>
      <c r="N68" s="391">
        <f>0.6037810576/G67-0.0052863845*G67+0.0000423961*G67^2+0.3189943526</f>
        <v>0.24770432489329391</v>
      </c>
      <c r="O68" s="621"/>
      <c r="P68" s="221">
        <f>C67*E68*F67*N68/1000000*O67</f>
        <v>26.6264216916239</v>
      </c>
      <c r="Q68" s="392">
        <f>1.5469182952/G67-0.0051393982*G67+0.0000404677*G67^2+0.2460289003</f>
        <v>0.21873385436050466</v>
      </c>
      <c r="R68" s="659"/>
      <c r="S68" s="221">
        <f t="shared" ref="S68" si="115">C67*E68*F67*Q68/1000000*R67</f>
        <v>47.0758469765792</v>
      </c>
      <c r="T68" s="665"/>
      <c r="U68" s="665"/>
      <c r="V68" s="665"/>
      <c r="W68" s="666"/>
    </row>
    <row r="69" spans="1:23" ht="17.25">
      <c r="A69" s="541"/>
      <c r="B69" s="540" t="s">
        <v>392</v>
      </c>
      <c r="C69" s="553">
        <f>'ｼｰﾄNO.3（表-3）59頁'!$F$30</f>
        <v>9</v>
      </c>
      <c r="D69" s="138" t="s">
        <v>65</v>
      </c>
      <c r="E69" s="294">
        <f>'ｼｰﾄNO.4（表-4）60頁'!K74</f>
        <v>158.65</v>
      </c>
      <c r="F69" s="543">
        <f>'ｼｰﾄNO.4（表-4）60頁'!C74/1000</f>
        <v>0.84799999999999998</v>
      </c>
      <c r="G69" s="543">
        <f>F69/('ｼｰﾄNO.4（表-4）60頁'!H74/3600)</f>
        <v>27.752727272727274</v>
      </c>
      <c r="H69" s="219">
        <f>-2.71095565/G69-0.09453616*G69+0.00089493*G69^2+3.15403637</f>
        <v>1.1220051084994243</v>
      </c>
      <c r="I69" s="620">
        <v>6000</v>
      </c>
      <c r="J69" s="99">
        <f t="shared" ref="J69" si="116">C69*E69*F69*H69/1000000*I69</f>
        <v>8.1512558103415547</v>
      </c>
      <c r="K69" s="396">
        <f>-0.25063622/G69-0.00657231*G69+0.00005332*G69^2+0.29056757</f>
        <v>0.14020479834032479</v>
      </c>
      <c r="L69" s="620">
        <v>1364600</v>
      </c>
      <c r="M69" s="99">
        <f>C69*E69*F69*K69/1000000*L69</f>
        <v>231.6576690649122</v>
      </c>
      <c r="N69" s="390">
        <f>0.093055673/G69-0.0002682273*G69+0.00000218*G69^2+0.0173678037</f>
        <v>1.4955858884601478E-2</v>
      </c>
      <c r="O69" s="620">
        <v>5506900</v>
      </c>
      <c r="P69" s="99">
        <f>C69*E69*F69*N69/1000000*O69</f>
        <v>99.72337933332777</v>
      </c>
      <c r="Q69" s="390">
        <f>0.0505593958/G69-0.000357176*G69+0.0000031505*G69^2+0.0131649024</f>
        <v>7.5006342486333456E-3</v>
      </c>
      <c r="R69" s="658">
        <v>11025800</v>
      </c>
      <c r="S69" s="394">
        <f t="shared" ref="S69" si="117">C69*E69*F69*Q69/1000000*R69</f>
        <v>100.13514641204659</v>
      </c>
      <c r="T69" s="665"/>
      <c r="U69" s="665"/>
      <c r="V69" s="665"/>
      <c r="W69" s="666"/>
    </row>
    <row r="70" spans="1:23" ht="17.25">
      <c r="A70" s="541"/>
      <c r="B70" s="542"/>
      <c r="C70" s="566"/>
      <c r="D70" s="139" t="s">
        <v>66</v>
      </c>
      <c r="E70" s="298">
        <f>'ｼｰﾄNO.4（表-4）60頁'!K75</f>
        <v>8.35</v>
      </c>
      <c r="F70" s="544"/>
      <c r="G70" s="544"/>
      <c r="H70" s="218">
        <f>12.28697452/G69-0.05907844*G69+0.00051753*G69^2+2.69979197</f>
        <v>1.9015432666737011</v>
      </c>
      <c r="I70" s="621"/>
      <c r="J70" s="221">
        <f t="shared" ref="J70" si="118">C69*E70*F69*H70/1000000*I69</f>
        <v>0.72708016838380962</v>
      </c>
      <c r="K70" s="397">
        <f>9.45345681/G69-0.14325844*G69+0.00124097*G69^2+5.98054622</f>
        <v>3.3011777457107159</v>
      </c>
      <c r="L70" s="621"/>
      <c r="M70" s="221">
        <f>C69*E70*F69*K70/1000000*L69</f>
        <v>287.07747177998772</v>
      </c>
      <c r="N70" s="391">
        <f>0.6037810576/G69-0.0052863845*G69+0.0000423961*G69^2+0.3189943526</f>
        <v>0.22669256740568483</v>
      </c>
      <c r="O70" s="621"/>
      <c r="P70" s="221">
        <f>C69*E70*F69*N70/1000000*O69</f>
        <v>79.555334928478416</v>
      </c>
      <c r="Q70" s="392">
        <f>1.5469182952/G69-0.0051393982*G69+0.0000404677*G69^2+0.2460289003</f>
        <v>0.190304692944187</v>
      </c>
      <c r="R70" s="659"/>
      <c r="S70" s="393">
        <f t="shared" ref="S70" si="119">C69*E70*F69*Q70/1000000*R69</f>
        <v>133.71632920900811</v>
      </c>
      <c r="T70" s="665"/>
      <c r="U70" s="665"/>
      <c r="V70" s="665"/>
      <c r="W70" s="666"/>
    </row>
    <row r="71" spans="1:23" ht="17.25">
      <c r="A71" s="541"/>
      <c r="B71" s="540" t="s">
        <v>393</v>
      </c>
      <c r="C71" s="553">
        <f>'ｼｰﾄNO.3（表-3）59頁'!$F$30</f>
        <v>9</v>
      </c>
      <c r="D71" s="138" t="s">
        <v>65</v>
      </c>
      <c r="E71" s="292">
        <f>'ｼｰﾄNO.4（表-4）60頁'!K76</f>
        <v>738.15</v>
      </c>
      <c r="F71" s="543">
        <f>'ｼｰﾄNO.4（表-4）60頁'!C76/1000</f>
        <v>0.61699999999999999</v>
      </c>
      <c r="G71" s="543">
        <f>F71/('ｼｰﾄNO.4（表-4）60頁'!H76/3600)</f>
        <v>27.087804878048779</v>
      </c>
      <c r="H71" s="219">
        <f>-2.71095565/G71-0.09453616*G71+0.00089493*G71^2+3.15403637</f>
        <v>1.1498331610692509</v>
      </c>
      <c r="I71" s="620">
        <v>6000</v>
      </c>
      <c r="J71" s="99">
        <f t="shared" ref="J71" si="120">C71*E71*F71*H71/1000000*I71</f>
        <v>28.278630771441986</v>
      </c>
      <c r="K71" s="396">
        <f>-0.25063622/G71-0.00657231*G71+0.00005332*G71^2+0.29056757</f>
        <v>0.14240889225716619</v>
      </c>
      <c r="L71" s="620">
        <v>1364600</v>
      </c>
      <c r="M71" s="99">
        <f>C71*E71*F71*K71/1000000*L71</f>
        <v>796.55317449075415</v>
      </c>
      <c r="N71" s="390">
        <f>0.093055673/G71-0.0002682273*G71+0.00000218*G71^2+0.0173678037</f>
        <v>1.5137022719626959E-2</v>
      </c>
      <c r="O71" s="620">
        <v>5506900</v>
      </c>
      <c r="P71" s="99">
        <f>C71*E71*F71*N71/1000000*O71</f>
        <v>341.68030848427588</v>
      </c>
      <c r="Q71" s="390">
        <f>0.0505593958/G71-0.000357176*G71+0.0000031505*G71^2+0.0131649024</f>
        <v>7.6679656699207913E-3</v>
      </c>
      <c r="R71" s="658">
        <v>11025800</v>
      </c>
      <c r="S71" s="375">
        <f t="shared" ref="S71" si="121">C71*E71*F71*Q71/1000000*R71</f>
        <v>346.54733852967382</v>
      </c>
      <c r="T71" s="665"/>
      <c r="U71" s="665"/>
      <c r="V71" s="665"/>
      <c r="W71" s="666"/>
    </row>
    <row r="72" spans="1:23" ht="17.25">
      <c r="A72" s="541"/>
      <c r="B72" s="542"/>
      <c r="C72" s="566"/>
      <c r="D72" s="139" t="s">
        <v>66</v>
      </c>
      <c r="E72" s="295">
        <f>'ｼｰﾄNO.4（表-4）60頁'!K77</f>
        <v>38.85</v>
      </c>
      <c r="F72" s="544"/>
      <c r="G72" s="544"/>
      <c r="H72" s="218">
        <f>12.28697452/G71-0.05907844*G71+0.00051753*G71^2+2.69979197</f>
        <v>1.9328219392155921</v>
      </c>
      <c r="I72" s="621"/>
      <c r="J72" s="221">
        <f t="shared" ref="J72" si="122">C71*E72*F71*H72/1000000*I71</f>
        <v>2.5018530292550012</v>
      </c>
      <c r="K72" s="397">
        <f>9.45345681/G71-0.14325844*G71+0.00124097*G71^2+5.98054622</f>
        <v>3.3595433546140332</v>
      </c>
      <c r="L72" s="621"/>
      <c r="M72" s="221">
        <f>C71*E72*F71*K72/1000000*L71</f>
        <v>989.01826820899225</v>
      </c>
      <c r="N72" s="391">
        <f>0.6037810576/G71-0.0052863845*G71+0.0000423961*G71^2+0.3189943526</f>
        <v>0.22919567839342808</v>
      </c>
      <c r="O72" s="621"/>
      <c r="P72" s="221">
        <f>C71*E72*F71*N72/1000000*O71</f>
        <v>272.29038833511652</v>
      </c>
      <c r="Q72" s="392">
        <f>1.5469182952/G71-0.0051393982*G71+0.0000404677*G71^2+0.2460289003</f>
        <v>0.19361458064850001</v>
      </c>
      <c r="R72" s="659"/>
      <c r="S72" s="221">
        <f t="shared" ref="S72" si="123">C71*E72*F71*Q72/1000000*R71</f>
        <v>460.53948069253465</v>
      </c>
      <c r="T72" s="665"/>
      <c r="U72" s="665"/>
      <c r="V72" s="665"/>
      <c r="W72" s="666"/>
    </row>
    <row r="73" spans="1:23" ht="17.25">
      <c r="A73" s="541"/>
      <c r="B73" s="540" t="s">
        <v>394</v>
      </c>
      <c r="C73" s="553">
        <f>'ｼｰﾄNO.3（表-3）59頁'!$F$30</f>
        <v>9</v>
      </c>
      <c r="D73" s="138" t="s">
        <v>65</v>
      </c>
      <c r="E73" s="294">
        <f>'ｼｰﾄNO.4（表-4）60頁'!K78</f>
        <v>133</v>
      </c>
      <c r="F73" s="543">
        <f>'ｼｰﾄNO.4（表-4）60頁'!C78/1000</f>
        <v>0.82399999999999995</v>
      </c>
      <c r="G73" s="543">
        <f>F73/('ｼｰﾄNO.4（表-4）60頁'!H78/3600)</f>
        <v>28.523076923076921</v>
      </c>
      <c r="H73" s="219">
        <f>-2.71095565/G73-0.09453616*G73+0.00089493*G73^2+3.15403637</f>
        <v>1.090614460615126</v>
      </c>
      <c r="I73" s="620">
        <v>6000</v>
      </c>
      <c r="J73" s="99">
        <f t="shared" ref="J73" si="124">C73*E73*F73*H73/1000000*I73</f>
        <v>6.4542214782575762</v>
      </c>
      <c r="K73" s="396">
        <f>-0.25063622/G73-0.00657231*G73+0.00005332*G73^2+0.29056757</f>
        <v>0.1376972627690112</v>
      </c>
      <c r="L73" s="620">
        <v>1364600</v>
      </c>
      <c r="M73" s="99">
        <f>C73*E73*F73*K73/1000000*L73</f>
        <v>185.33269294035446</v>
      </c>
      <c r="N73" s="390">
        <f>0.093055673/G73-0.0002682273*G73+0.00000218*G73^2+0.0173678037</f>
        <v>1.4753179146136358E-2</v>
      </c>
      <c r="O73" s="620">
        <v>5506900</v>
      </c>
      <c r="P73" s="99">
        <f>C73*E73*F73*N73/1000000*O73</f>
        <v>80.133510413074973</v>
      </c>
      <c r="Q73" s="390">
        <f>0.0505593958/G73-0.000357176*G73+0.0000031505*G73^2+0.0131649024</f>
        <v>7.3128619003372843E-3</v>
      </c>
      <c r="R73" s="658">
        <v>11025800</v>
      </c>
      <c r="S73" s="394">
        <f t="shared" ref="S73" si="125">C73*E73*F73*Q73/1000000*R73</f>
        <v>79.527777292467448</v>
      </c>
      <c r="T73" s="665"/>
      <c r="U73" s="665"/>
      <c r="V73" s="665"/>
      <c r="W73" s="666"/>
    </row>
    <row r="74" spans="1:23" ht="17.25">
      <c r="A74" s="541"/>
      <c r="B74" s="542"/>
      <c r="C74" s="566"/>
      <c r="D74" s="139" t="s">
        <v>66</v>
      </c>
      <c r="E74" s="298">
        <f>'ｼｰﾄNO.4（表-4）60頁'!K79</f>
        <v>7</v>
      </c>
      <c r="F74" s="544"/>
      <c r="G74" s="544"/>
      <c r="H74" s="218">
        <f>12.28697452/G73-0.05907844*G73+0.00051753*G73^2+2.69979197</f>
        <v>1.8665109593380467</v>
      </c>
      <c r="I74" s="621"/>
      <c r="J74" s="221">
        <f t="shared" ref="J74" si="126">C73*E74*F73*H74/1000000*I73</f>
        <v>0.58136590152694001</v>
      </c>
      <c r="K74" s="397">
        <f>9.45345681/G73-0.14325844*G73+0.00124097*G73^2+5.98054622</f>
        <v>3.2354174852760047</v>
      </c>
      <c r="L74" s="621"/>
      <c r="M74" s="221">
        <f>C73*E74*F73*K74/1000000*L73</f>
        <v>229.19411195956124</v>
      </c>
      <c r="N74" s="391">
        <f>0.6037810576/G73-0.0052863845*G73+0.0000423961*G73^2+0.3189943526</f>
        <v>0.22387058289813042</v>
      </c>
      <c r="O74" s="621"/>
      <c r="P74" s="221">
        <f>C73*E74*F73*N74/1000000*O73</f>
        <v>63.998822177668508</v>
      </c>
      <c r="Q74" s="392">
        <f>1.5469182952/G73-0.0051393982*G73+0.0000404677*G73^2+0.2460289003</f>
        <v>0.18659451238229957</v>
      </c>
      <c r="R74" s="659"/>
      <c r="S74" s="393">
        <f t="shared" ref="S74" si="127">C73*E74*F73*Q74/1000000*R73</f>
        <v>106.80134914832047</v>
      </c>
      <c r="T74" s="665"/>
      <c r="U74" s="665"/>
      <c r="V74" s="665"/>
      <c r="W74" s="666"/>
    </row>
    <row r="75" spans="1:23" ht="17.25">
      <c r="A75" s="541"/>
      <c r="B75" s="540" t="s">
        <v>395</v>
      </c>
      <c r="C75" s="553">
        <f>'ｼｰﾄNO.3（表-3）59頁'!$F$30</f>
        <v>9</v>
      </c>
      <c r="D75" s="138" t="s">
        <v>65</v>
      </c>
      <c r="E75" s="292">
        <f>'ｼｰﾄNO.4（表-4）60頁'!K80</f>
        <v>47.5</v>
      </c>
      <c r="F75" s="543">
        <f>'ｼｰﾄNO.4（表-4）60頁'!C80/1000</f>
        <v>0.91</v>
      </c>
      <c r="G75" s="543">
        <f>F75/('ｼｰﾄNO.4（表-4）60頁'!H80/3600)</f>
        <v>22.90909090909091</v>
      </c>
      <c r="H75" s="219">
        <f>-2.71095565/G75-0.09453616*G75+0.00089493*G75^2+3.15403637</f>
        <v>1.3396464522592815</v>
      </c>
      <c r="I75" s="620">
        <v>6000</v>
      </c>
      <c r="J75" s="99">
        <f t="shared" ref="J75" si="128">C75*E75*F75*H75/1000000*I75</f>
        <v>3.1269357665410022</v>
      </c>
      <c r="K75" s="396">
        <f>-0.25063622/G75-0.00657231*G75+0.00005332*G75^2+0.29056757</f>
        <v>0.15704519892234028</v>
      </c>
      <c r="L75" s="620">
        <v>1364600</v>
      </c>
      <c r="M75" s="99">
        <f>C75*E75*F75*K75/1000000*L75</f>
        <v>83.369566313787772</v>
      </c>
      <c r="N75" s="390">
        <f>0.093055673/G75-0.0002682273*G75+0.00000218*G75^2+0.0173678037</f>
        <v>1.6429035733051291E-2</v>
      </c>
      <c r="O75" s="620">
        <v>5506900</v>
      </c>
      <c r="P75" s="99">
        <f>C75*E75*F75*N75/1000000*O75</f>
        <v>35.196280952096281</v>
      </c>
      <c r="Q75" s="390">
        <f>0.0505593958/G75-0.000357176*G75+0.0000031505*G75^2+0.0131649024</f>
        <v>8.8427484176374117E-3</v>
      </c>
      <c r="R75" s="658">
        <v>11025800</v>
      </c>
      <c r="S75" s="375">
        <f t="shared" ref="S75" si="129">C75*E75*F75*Q75/1000000*R75</f>
        <v>37.929305530127159</v>
      </c>
      <c r="T75" s="665"/>
      <c r="U75" s="665"/>
      <c r="V75" s="665"/>
      <c r="W75" s="666"/>
    </row>
    <row r="76" spans="1:23" ht="17.25">
      <c r="A76" s="541"/>
      <c r="B76" s="542"/>
      <c r="C76" s="566"/>
      <c r="D76" s="139" t="s">
        <v>66</v>
      </c>
      <c r="E76" s="295">
        <f>'ｼｰﾄNO.4（表-4）60頁'!K81</f>
        <v>2.5</v>
      </c>
      <c r="F76" s="544"/>
      <c r="G76" s="544"/>
      <c r="H76" s="218">
        <f>12.28697452/G75-0.05907844*G75+0.00051753*G75^2+2.69979197</f>
        <v>2.154308237381608</v>
      </c>
      <c r="I76" s="621"/>
      <c r="J76" s="221">
        <f t="shared" ref="J76" si="130">C75*E76*F75*H76/1000000*I75</f>
        <v>0.26465676696233059</v>
      </c>
      <c r="K76" s="397">
        <f>9.45345681/G75-0.14325844*G75+0.00124097*G75^2+5.98054622</f>
        <v>3.7625703620867768</v>
      </c>
      <c r="L76" s="621"/>
      <c r="M76" s="221">
        <f>C75*E76*F75*K76/1000000*L75</f>
        <v>105.12691199222152</v>
      </c>
      <c r="N76" s="391">
        <f>0.6037810576/G75-0.0052863845*G75+0.0000423961*G75^2+0.3189943526</f>
        <v>0.24649420636382</v>
      </c>
      <c r="O76" s="621"/>
      <c r="P76" s="221">
        <f>C75*E76*F75*N76/1000000*O75</f>
        <v>27.793152899385248</v>
      </c>
      <c r="Q76" s="392">
        <f>1.5469182952/G75-0.0051393982*G75+0.0000404677*G75^2+0.2460289003</f>
        <v>0.2170526901967598</v>
      </c>
      <c r="R76" s="659"/>
      <c r="S76" s="221">
        <f t="shared" ref="S76" si="131">C75*E76*F75*Q76/1000000*R75</f>
        <v>49.000351318425125</v>
      </c>
      <c r="T76" s="665"/>
      <c r="U76" s="665"/>
      <c r="V76" s="665"/>
      <c r="W76" s="666"/>
    </row>
    <row r="77" spans="1:23" ht="17.25">
      <c r="A77" s="541"/>
      <c r="B77" s="540" t="s">
        <v>396</v>
      </c>
      <c r="C77" s="553">
        <f>'ｼｰﾄNO.3（表-3）59頁'!$F$30</f>
        <v>9</v>
      </c>
      <c r="D77" s="138" t="s">
        <v>65</v>
      </c>
      <c r="E77" s="294">
        <f>'ｼｰﾄNO.4（表-4）60頁'!K82</f>
        <v>743.84999999999991</v>
      </c>
      <c r="F77" s="543">
        <f>'ｼｰﾄNO.4（表-4）60頁'!C82/1000</f>
        <v>0.61699999999999999</v>
      </c>
      <c r="G77" s="543">
        <f>F77/('ｼｰﾄNO.4（表-4）60頁'!H82/3600)</f>
        <v>27.087804878048779</v>
      </c>
      <c r="H77" s="219">
        <f>-2.71095565/G77-0.09453616*G77+0.00089493*G77^2+3.15403637</f>
        <v>1.1498331610692509</v>
      </c>
      <c r="I77" s="620">
        <v>6000</v>
      </c>
      <c r="J77" s="99">
        <f t="shared" ref="J77" si="132">C77*E77*F77*H77/1000000*I77</f>
        <v>28.496998576626869</v>
      </c>
      <c r="K77" s="396">
        <f>-0.25063622/G77-0.00657231*G77+0.00005332*G77^2+0.29056757</f>
        <v>0.14240889225716619</v>
      </c>
      <c r="L77" s="620">
        <v>1364600</v>
      </c>
      <c r="M77" s="99">
        <f>C77*E77*F77*K77/1000000*L77</f>
        <v>802.70416425516157</v>
      </c>
      <c r="N77" s="390">
        <f>0.093055673/G77-0.0002682273*G77+0.00000218*G77^2+0.0173678037</f>
        <v>1.5137022719626959E-2</v>
      </c>
      <c r="O77" s="620">
        <v>5506900</v>
      </c>
      <c r="P77" s="99">
        <f>C77*E77*F77*N77/1000000*O77</f>
        <v>344.31876646484949</v>
      </c>
      <c r="Q77" s="390">
        <f>0.0505593958/G77-0.000357176*G77+0.0000031505*G77^2+0.0131649024</f>
        <v>7.6679656699207913E-3</v>
      </c>
      <c r="R77" s="658">
        <v>11025800</v>
      </c>
      <c r="S77" s="394">
        <f t="shared" ref="S77" si="133">C77*E77*F77*Q77/1000000*R77</f>
        <v>349.22337975384124</v>
      </c>
      <c r="T77" s="665"/>
      <c r="U77" s="665"/>
      <c r="V77" s="665"/>
      <c r="W77" s="666"/>
    </row>
    <row r="78" spans="1:23" ht="17.25">
      <c r="A78" s="542"/>
      <c r="B78" s="542"/>
      <c r="C78" s="566"/>
      <c r="D78" s="139" t="s">
        <v>66</v>
      </c>
      <c r="E78" s="298">
        <f>'ｼｰﾄNO.4（表-4）60頁'!K83</f>
        <v>39.150000000000006</v>
      </c>
      <c r="F78" s="544"/>
      <c r="G78" s="544"/>
      <c r="H78" s="218">
        <f>12.28697452/G77-0.05907844*G77+0.00051753*G77^2+2.69979197</f>
        <v>1.9328219392155921</v>
      </c>
      <c r="I78" s="621"/>
      <c r="J78" s="221">
        <f t="shared" ref="J78" si="134">C77*E78*F77*H78/1000000*I77</f>
        <v>2.5211723576662366</v>
      </c>
      <c r="K78" s="397">
        <f>9.45345681/G77-0.14325844*G77+0.00124097*G77^2+5.98054622</f>
        <v>3.3595433546140332</v>
      </c>
      <c r="L78" s="621"/>
      <c r="M78" s="221">
        <f>C77*E78*F77*K78/1000000*L77</f>
        <v>996.65547491330858</v>
      </c>
      <c r="N78" s="391">
        <f>0.6037810576/G77-0.0052863845*G77+0.0000423961*G77^2+0.3189943526</f>
        <v>0.22919567839342808</v>
      </c>
      <c r="O78" s="621"/>
      <c r="P78" s="221">
        <f>C77*E78*F77*N78/1000000*O77</f>
        <v>274.39301681646873</v>
      </c>
      <c r="Q78" s="392">
        <f>1.5469182952/G77-0.0051393982*G77+0.0000404677*G77^2+0.2460289003</f>
        <v>0.19361458064850001</v>
      </c>
      <c r="R78" s="659"/>
      <c r="S78" s="100">
        <f t="shared" ref="S78" si="135">C77*E78*F77*Q78/1000000*R77</f>
        <v>464.09577011873188</v>
      </c>
      <c r="T78" s="617"/>
      <c r="U78" s="617"/>
      <c r="V78" s="617"/>
      <c r="W78" s="666"/>
    </row>
    <row r="79" spans="1:23" ht="17.25">
      <c r="A79" s="570" t="s">
        <v>976</v>
      </c>
      <c r="B79" s="540" t="s">
        <v>224</v>
      </c>
      <c r="C79" s="553">
        <f>'ｼｰﾄNO.3（表-3）59頁'!$F$30</f>
        <v>9</v>
      </c>
      <c r="D79" s="138" t="s">
        <v>65</v>
      </c>
      <c r="E79" s="292">
        <f>'ｼｰﾄNO.4（表-4）60頁'!W6</f>
        <v>772.34999999999991</v>
      </c>
      <c r="F79" s="543">
        <f>'ｼｰﾄNO.4（表-4）60頁'!O6/1000</f>
        <v>1.054</v>
      </c>
      <c r="G79" s="543">
        <f>F79/('ｼｰﾄNO.4（表-4）60頁'!T6/3600)</f>
        <v>29.643750000000001</v>
      </c>
      <c r="H79" s="219">
        <f>-2.71095565/G79-0.09453616*G79+0.00089493*G79^2+3.15403637</f>
        <v>1.0466003564631281</v>
      </c>
      <c r="I79" s="620">
        <v>6000</v>
      </c>
      <c r="J79" s="99">
        <f>C79*E79*F79*H79/1000000*I79</f>
        <v>46.007581052948531</v>
      </c>
      <c r="K79" s="396">
        <f>-0.25063622/G79-0.00657231*G79+0.00005332*G79^2+0.29056757</f>
        <v>0.13413976437914132</v>
      </c>
      <c r="L79" s="620">
        <v>1364600</v>
      </c>
      <c r="M79" s="99">
        <f>C79*E79*F79*K79/1000000*L79</f>
        <v>1341.0969576596506</v>
      </c>
      <c r="N79" s="390">
        <f>0.093055673/G79-0.0002682273*G79+0.00000218*G79^2+0.0173678037</f>
        <v>1.4471352818974903E-2</v>
      </c>
      <c r="O79" s="620">
        <v>5506900</v>
      </c>
      <c r="P79" s="99">
        <f>C79*E79*F79*N79/1000000*O79</f>
        <v>583.86654776030605</v>
      </c>
      <c r="Q79" s="390">
        <f>0.0505593958/G79-0.000357176*G79+0.0000031505*G79^2+0.0131649024</f>
        <v>7.0509410543262221E-3</v>
      </c>
      <c r="R79" s="658">
        <v>11025800</v>
      </c>
      <c r="S79" s="375">
        <f t="shared" ref="S79" si="136">C79*E79*F79*Q79/1000000*R79</f>
        <v>569.5796516277195</v>
      </c>
      <c r="T79" s="616">
        <f>SUM(J79:J102)+SUM(M79:M102)+SUM(P79:P102)+SUM(S79:S102)</f>
        <v>21682.801938929384</v>
      </c>
      <c r="U79" s="616">
        <f>'ｼｰﾄNO.3（表-3）59頁'!$F$38</f>
        <v>18</v>
      </c>
      <c r="V79" s="616">
        <f>T79*U79</f>
        <v>390290.43490072893</v>
      </c>
      <c r="W79" s="666"/>
    </row>
    <row r="80" spans="1:23" ht="17.25">
      <c r="A80" s="571"/>
      <c r="B80" s="542"/>
      <c r="C80" s="566"/>
      <c r="D80" s="139" t="s">
        <v>66</v>
      </c>
      <c r="E80" s="295">
        <f>'ｼｰﾄNO.4（表-4）60頁'!W7</f>
        <v>40.650000000000006</v>
      </c>
      <c r="F80" s="544"/>
      <c r="G80" s="544"/>
      <c r="H80" s="218">
        <f>12.28697452/G79-0.05907844*G79+0.00051753*G79^2+2.69979197</f>
        <v>1.8177538030136606</v>
      </c>
      <c r="I80" s="621"/>
      <c r="J80" s="221">
        <f>C79*E80*F79*H80/1000000*I79</f>
        <v>4.205619547137033</v>
      </c>
      <c r="K80" s="397">
        <f>9.45345681/G79-0.14325844*G79+0.00124097*G79^2+5.98054622</f>
        <v>3.1432357925564749</v>
      </c>
      <c r="L80" s="621"/>
      <c r="M80" s="221">
        <f>C79*E80*F79*K80/1000000*L79</f>
        <v>1653.96379394012</v>
      </c>
      <c r="N80" s="391">
        <f>0.6037810576/G79-0.0052863845*G79+0.0000423961*G79^2+0.3189943526</f>
        <v>0.21990965021660547</v>
      </c>
      <c r="O80" s="621"/>
      <c r="P80" s="221">
        <f>C79*E80*F79*N80/1000000*O79</f>
        <v>466.97663161180054</v>
      </c>
      <c r="Q80" s="392">
        <f>1.5469182952/G79-0.0051393982*G79+0.0000404677*G79^2+0.2460289003</f>
        <v>0.18142255744628519</v>
      </c>
      <c r="R80" s="659"/>
      <c r="S80" s="221">
        <f t="shared" ref="S80" si="137">C79*E80*F79*Q80/1000000*R79</f>
        <v>771.33860028858635</v>
      </c>
      <c r="T80" s="665"/>
      <c r="U80" s="665"/>
      <c r="V80" s="665"/>
      <c r="W80" s="666"/>
    </row>
    <row r="81" spans="1:23" ht="17.25">
      <c r="A81" s="571"/>
      <c r="B81" s="540" t="s">
        <v>257</v>
      </c>
      <c r="C81" s="553">
        <f>'ｼｰﾄNO.3（表-3）59頁'!$F$30</f>
        <v>9</v>
      </c>
      <c r="D81" s="138" t="s">
        <v>65</v>
      </c>
      <c r="E81" s="294">
        <f>'ｼｰﾄNO.4（表-4）60頁'!W8</f>
        <v>148.19999999999999</v>
      </c>
      <c r="F81" s="543">
        <f>'ｼｰﾄNO.4（表-4）60頁'!O8/1000</f>
        <v>0.76100000000000001</v>
      </c>
      <c r="G81" s="543">
        <f>F81/('ｼｰﾄNO.4（表-4）60頁'!T8/3600)</f>
        <v>27.955102040816328</v>
      </c>
      <c r="H81" s="219">
        <f>-2.71095565/G81-0.09453616*G81+0.00089493*G81^2+3.15403637</f>
        <v>1.1136698404962537</v>
      </c>
      <c r="I81" s="620">
        <v>6000</v>
      </c>
      <c r="J81" s="99">
        <f t="shared" ref="J81" si="138">C81*E81*F81*H81/1000000*I81</f>
        <v>6.7823949966373211</v>
      </c>
      <c r="K81" s="396">
        <f>-0.25063622/G81-0.00657231*G81+0.00005332*G81^2+0.29056757</f>
        <v>0.13954122906549798</v>
      </c>
      <c r="L81" s="620">
        <v>1364600</v>
      </c>
      <c r="M81" s="99">
        <f>C81*E81*F81*K81/1000000*L81</f>
        <v>193.27838171207401</v>
      </c>
      <c r="N81" s="390">
        <f>0.093055673/G81-0.0002682273*G81+0.00000218*G81^2+0.0173678037</f>
        <v>1.4901879955931608E-2</v>
      </c>
      <c r="O81" s="620">
        <v>5506900</v>
      </c>
      <c r="P81" s="99">
        <f>C81*E81*F81*N81/1000000*O81</f>
        <v>83.295899147207066</v>
      </c>
      <c r="Q81" s="390">
        <f>0.0505593958/G81-0.000357176*G81+0.0000031505*G81^2+0.0131649024</f>
        <v>7.450680750222689E-3</v>
      </c>
      <c r="R81" s="658">
        <v>11025800</v>
      </c>
      <c r="S81" s="375">
        <f t="shared" ref="S81" si="139">C81*E81*F81*Q81/1000000*R81</f>
        <v>83.383752416847187</v>
      </c>
      <c r="T81" s="665"/>
      <c r="U81" s="665"/>
      <c r="V81" s="665"/>
      <c r="W81" s="666"/>
    </row>
    <row r="82" spans="1:23" ht="17.25">
      <c r="A82" s="571"/>
      <c r="B82" s="542"/>
      <c r="C82" s="566"/>
      <c r="D82" s="139" t="s">
        <v>66</v>
      </c>
      <c r="E82" s="298">
        <f>'ｼｰﾄNO.4（表-4）60頁'!W9</f>
        <v>7.8000000000000007</v>
      </c>
      <c r="F82" s="544"/>
      <c r="G82" s="544"/>
      <c r="H82" s="218">
        <f>12.28697452/G81-0.05907844*G81+0.00051753*G81^2+2.69979197</f>
        <v>1.8922167930969032</v>
      </c>
      <c r="I82" s="621"/>
      <c r="J82" s="221">
        <f t="shared" ref="J82" si="140">C81*E82*F81*H82/1000000*I81</f>
        <v>0.60651830378508842</v>
      </c>
      <c r="K82" s="397">
        <f>9.45345681/G81-0.14325844*G81+0.00124097*G81^2+5.98054622</f>
        <v>3.2837104457456512</v>
      </c>
      <c r="L82" s="621"/>
      <c r="M82" s="221">
        <f>C81*E82*F81*K82/1000000*L81</f>
        <v>239.38227516401381</v>
      </c>
      <c r="N82" s="391">
        <f>0.6037810576/G81-0.0052863845*G81+0.0000423961*G81^2+0.3189943526</f>
        <v>0.22594320837961243</v>
      </c>
      <c r="O82" s="621"/>
      <c r="P82" s="221">
        <f>C81*E82*F81*N82/1000000*O81</f>
        <v>66.470393611375528</v>
      </c>
      <c r="Q82" s="392">
        <f>1.5469182952/G81-0.0051393982*G81+0.0000404677*G81^2+0.2460289003</f>
        <v>0.18931732307317983</v>
      </c>
      <c r="R82" s="659"/>
      <c r="S82" s="221">
        <f t="shared" ref="S82" si="141">C81*E82*F81*Q82/1000000*R81</f>
        <v>111.51216155921465</v>
      </c>
      <c r="T82" s="665"/>
      <c r="U82" s="665"/>
      <c r="V82" s="665"/>
      <c r="W82" s="666"/>
    </row>
    <row r="83" spans="1:23" ht="17.25">
      <c r="A83" s="571"/>
      <c r="B83" s="540" t="s">
        <v>355</v>
      </c>
      <c r="C83" s="553">
        <f>'ｼｰﾄNO.3（表-3）59頁'!$F$30</f>
        <v>9</v>
      </c>
      <c r="D83" s="138" t="s">
        <v>65</v>
      </c>
      <c r="E83" s="292">
        <f>'ｼｰﾄNO.4（表-4）60頁'!W10</f>
        <v>41.8</v>
      </c>
      <c r="F83" s="543">
        <f>'ｼｰﾄNO.4（表-4）60頁'!O10/1000</f>
        <v>0.82399999999999995</v>
      </c>
      <c r="G83" s="543">
        <f>F83/('ｼｰﾄNO.4（表-4）60頁'!T10/3600)</f>
        <v>24.927731092436975</v>
      </c>
      <c r="H83" s="219">
        <f>-2.71095565/G83-0.09453616*G83+0.00089493*G83^2+3.15403637</f>
        <v>1.2448139350987362</v>
      </c>
      <c r="I83" s="620">
        <v>6000</v>
      </c>
      <c r="J83" s="99">
        <f t="shared" ref="J83" si="142">C83*E83*F83*H83/1000000*I83</f>
        <v>2.3152702677872101</v>
      </c>
      <c r="K83" s="396">
        <f>-0.25063622/G83-0.00657231*G83+0.00005332*G83^2+0.29056757</f>
        <v>0.14981288928616346</v>
      </c>
      <c r="L83" s="620">
        <v>1364600</v>
      </c>
      <c r="M83" s="99">
        <f>C83*E83*F83*K83/1000000*L83</f>
        <v>63.372457634878913</v>
      </c>
      <c r="N83" s="390">
        <f>0.093055673/G83-0.0002682273*G83+0.00000218*G83^2+0.0173678037</f>
        <v>1.5769157934508494E-2</v>
      </c>
      <c r="O83" s="620">
        <v>5506900</v>
      </c>
      <c r="P83" s="99">
        <f>C83*E83*F83*N83/1000000*O83</f>
        <v>26.919171908389597</v>
      </c>
      <c r="Q83" s="390">
        <f>0.0505593958/G83-0.000357176*G83+0.0000031505*G83^2+0.0131649024</f>
        <v>8.2472488906841519E-3</v>
      </c>
      <c r="R83" s="658">
        <v>11025800</v>
      </c>
      <c r="S83" s="393">
        <f t="shared" ref="S83" si="143">C83*E83*F83*Q83/1000000*R83</f>
        <v>28.188061769672274</v>
      </c>
      <c r="T83" s="665"/>
      <c r="U83" s="665"/>
      <c r="V83" s="665"/>
      <c r="W83" s="666"/>
    </row>
    <row r="84" spans="1:23" ht="17.25">
      <c r="A84" s="571"/>
      <c r="B84" s="542"/>
      <c r="C84" s="566"/>
      <c r="D84" s="139" t="s">
        <v>66</v>
      </c>
      <c r="E84" s="295">
        <f>'ｼｰﾄNO.4（表-4）60頁'!W11</f>
        <v>2.2000000000000002</v>
      </c>
      <c r="F84" s="544"/>
      <c r="G84" s="544"/>
      <c r="H84" s="218">
        <f>12.28697452/G83-0.05907844*G83+0.00051753*G83^2+2.69979197</f>
        <v>2.0415932365843594</v>
      </c>
      <c r="I84" s="621"/>
      <c r="J84" s="221">
        <f t="shared" ref="J84" si="144">C83*E84*F83*H84/1000000*I83</f>
        <v>0.19985401184112686</v>
      </c>
      <c r="K84" s="397">
        <f>9.45345681/G83-0.14325844*G83+0.00124097*G83^2+5.98054622</f>
        <v>3.5598014520360097</v>
      </c>
      <c r="L84" s="621"/>
      <c r="M84" s="221">
        <f>C83*E84*F83*K84/1000000*L83</f>
        <v>79.254429618541934</v>
      </c>
      <c r="N84" s="391">
        <f>0.6037810576/G83-0.0052863845*G83+0.0000423961*G83^2+0.3189943526</f>
        <v>0.2377826293315011</v>
      </c>
      <c r="O84" s="621"/>
      <c r="P84" s="221">
        <f>C83*E84*F83*N84/1000000*O83</f>
        <v>21.363859698344267</v>
      </c>
      <c r="Q84" s="392">
        <f>1.5469182952/G83-0.0051393982*G83+0.0000404677*G83^2+0.2460289003</f>
        <v>0.2051177809551076</v>
      </c>
      <c r="R84" s="659"/>
      <c r="S84" s="221">
        <f t="shared" ref="S84" si="145">C83*E84*F83*Q84/1000000*R83</f>
        <v>36.898254488818331</v>
      </c>
      <c r="T84" s="665"/>
      <c r="U84" s="665"/>
      <c r="V84" s="665"/>
      <c r="W84" s="666"/>
    </row>
    <row r="85" spans="1:23" ht="17.25">
      <c r="A85" s="571"/>
      <c r="B85" s="540" t="s">
        <v>356</v>
      </c>
      <c r="C85" s="553">
        <f>'ｼｰﾄNO.3（表-3）59頁'!$F$30</f>
        <v>9</v>
      </c>
      <c r="D85" s="138" t="s">
        <v>65</v>
      </c>
      <c r="E85" s="294">
        <f>'ｼｰﾄNO.4（表-4）60頁'!W12</f>
        <v>753.34999999999991</v>
      </c>
      <c r="F85" s="543">
        <f>'ｼｰﾄNO.4（表-4）60頁'!O12/1000</f>
        <v>1.054</v>
      </c>
      <c r="G85" s="543">
        <f>F85/('ｼｰﾄNO.4（表-4）60頁'!T12/3600)</f>
        <v>30.6</v>
      </c>
      <c r="H85" s="219">
        <f>-2.71095565/G85-0.09453616*G85+0.00089493*G85^2+3.15403637</f>
        <v>1.0106132069045755</v>
      </c>
      <c r="I85" s="620">
        <v>6000</v>
      </c>
      <c r="J85" s="99">
        <f t="shared" ref="J85" si="146">C85*E85*F85*H85/1000000*I85</f>
        <v>43.332738168437615</v>
      </c>
      <c r="K85" s="396">
        <f>-0.25063622/G85-0.00657231*G85+0.00005332*G85^2+0.29056757</f>
        <v>0.13119087305620916</v>
      </c>
      <c r="L85" s="620">
        <v>1364600</v>
      </c>
      <c r="M85" s="99">
        <f>C85*E85*F85*K85/1000000*L85</f>
        <v>1279.3486114663865</v>
      </c>
      <c r="N85" s="390">
        <f>0.093055673/G85-0.0002682273*G85+0.00000218*G85^2+0.0173678037</f>
        <v>1.4242348185359476E-2</v>
      </c>
      <c r="O85" s="620">
        <v>5506900</v>
      </c>
      <c r="P85" s="99">
        <f>C85*E85*F85*N85/1000000*O85</f>
        <v>560.4910756012647</v>
      </c>
      <c r="Q85" s="390">
        <f>0.0505593958/G85-0.000357176*G85+0.0000031505*G85^2+0.0131649024</f>
        <v>6.8375868166013053E-3</v>
      </c>
      <c r="R85" s="658">
        <v>11025800</v>
      </c>
      <c r="S85" s="375">
        <f t="shared" ref="S85" si="147">C85*E85*F85*Q85/1000000*R85</f>
        <v>538.75693922824041</v>
      </c>
      <c r="T85" s="665"/>
      <c r="U85" s="665"/>
      <c r="V85" s="665"/>
      <c r="W85" s="666"/>
    </row>
    <row r="86" spans="1:23" ht="17.25">
      <c r="A86" s="571"/>
      <c r="B86" s="542"/>
      <c r="C86" s="566"/>
      <c r="D86" s="139" t="s">
        <v>66</v>
      </c>
      <c r="E86" s="298">
        <f>'ｼｰﾄNO.4（表-4）60頁'!W13</f>
        <v>39.650000000000006</v>
      </c>
      <c r="F86" s="544"/>
      <c r="G86" s="544"/>
      <c r="H86" s="218">
        <f>12.28697452/G85-0.05907844*G85+0.00051753*G85^2+2.69979197</f>
        <v>1.7781212118326797</v>
      </c>
      <c r="I86" s="621"/>
      <c r="J86" s="221">
        <f t="shared" ref="J86" si="148">C85*E86*F85*H86/1000000*I85</f>
        <v>4.0127206342943182</v>
      </c>
      <c r="K86" s="397">
        <f>9.45345681/G85-0.14325844*G85+0.00124097*G85^2+5.98054622</f>
        <v>3.0677691222588237</v>
      </c>
      <c r="L86" s="621"/>
      <c r="M86" s="221">
        <f>C85*E86*F85*K86/1000000*L85</f>
        <v>1574.5423665336648</v>
      </c>
      <c r="N86" s="391">
        <f>0.6037810576/G85-0.0052863845*G85+0.0000423961*G85^2+0.3189943526</f>
        <v>0.21666040620711108</v>
      </c>
      <c r="O86" s="621"/>
      <c r="P86" s="221">
        <f>C85*E86*F85*N86/1000000*O85</f>
        <v>448.75887974436336</v>
      </c>
      <c r="Q86" s="392">
        <f>1.5469182952/G85-0.0051393982*G85+0.0000404677*G85^2+0.2460289003</f>
        <v>0.17720853641605228</v>
      </c>
      <c r="R86" s="659"/>
      <c r="S86" s="221">
        <f t="shared" ref="S86" si="149">C85*E86*F85*Q86/1000000*R85</f>
        <v>734.88783970596694</v>
      </c>
      <c r="T86" s="665"/>
      <c r="U86" s="665"/>
      <c r="V86" s="665"/>
      <c r="W86" s="666"/>
    </row>
    <row r="87" spans="1:23" ht="17.25">
      <c r="A87" s="571"/>
      <c r="B87" s="540" t="s">
        <v>402</v>
      </c>
      <c r="C87" s="553">
        <f>'ｼｰﾄNO.3（表-3）59頁'!$F$30</f>
        <v>9</v>
      </c>
      <c r="D87" s="138" t="s">
        <v>65</v>
      </c>
      <c r="E87" s="292">
        <f>'ｼｰﾄNO.4（表-4）60頁'!W14</f>
        <v>39.9</v>
      </c>
      <c r="F87" s="543">
        <f>'ｼｰﾄNO.4（表-4）60頁'!O14/1000</f>
        <v>0.84799999999999998</v>
      </c>
      <c r="G87" s="543">
        <f>F87/('ｼｰﾄNO.4（表-4）60頁'!T14/3600)</f>
        <v>22.613333333333333</v>
      </c>
      <c r="H87" s="219">
        <f>-2.71095565/G87-0.09453616*G87+0.00089493*G87^2+3.15403637</f>
        <v>1.3540095598927391</v>
      </c>
      <c r="I87" s="620">
        <v>6000</v>
      </c>
      <c r="J87" s="99">
        <f t="shared" ref="J87" si="150">C87*E87*F87*H87/1000000*I87</f>
        <v>2.4739119500876714</v>
      </c>
      <c r="K87" s="396">
        <f>-0.25063622/G87-0.00657231*G87+0.00005332*G87^2+0.29056757</f>
        <v>0.15812804080870232</v>
      </c>
      <c r="L87" s="620">
        <v>1364600</v>
      </c>
      <c r="M87" s="99">
        <f>C87*E87*F87*K87/1000000*L87</f>
        <v>65.709099336071944</v>
      </c>
      <c r="N87" s="390">
        <f>0.093055673/G87-0.0002682273*G87+0.00000218*G87^2+0.0173678037</f>
        <v>1.6532141236016248E-2</v>
      </c>
      <c r="O87" s="620">
        <v>5506900</v>
      </c>
      <c r="P87" s="99">
        <f>C87*E87*F87*N87/1000000*O87</f>
        <v>27.723467876618166</v>
      </c>
      <c r="Q87" s="390">
        <f>0.0505593958/G87-0.000357176*G87+0.0000031505*G87^2+0.0131649024</f>
        <v>8.9348334326093265E-3</v>
      </c>
      <c r="R87" s="658">
        <v>11025800</v>
      </c>
      <c r="S87" s="393">
        <f t="shared" ref="S87" si="151">C87*E87*F87*Q87/1000000*R87</f>
        <v>29.999072557387411</v>
      </c>
      <c r="T87" s="665"/>
      <c r="U87" s="665"/>
      <c r="V87" s="665"/>
      <c r="W87" s="666"/>
    </row>
    <row r="88" spans="1:23" ht="17.25">
      <c r="A88" s="571"/>
      <c r="B88" s="542"/>
      <c r="C88" s="566"/>
      <c r="D88" s="139" t="s">
        <v>66</v>
      </c>
      <c r="E88" s="295">
        <f>'ｼｰﾄNO.4（表-4）60頁'!W15</f>
        <v>2.1</v>
      </c>
      <c r="F88" s="544"/>
      <c r="G88" s="544"/>
      <c r="H88" s="218">
        <f>12.28697452/G87-0.05907844*G87+0.00051753*G87^2+2.69979197</f>
        <v>2.1718280043001132</v>
      </c>
      <c r="I88" s="621"/>
      <c r="J88" s="221">
        <f t="shared" ref="J88" si="152">C87*E88*F87*H88/1000000*I87</f>
        <v>0.20884993074311264</v>
      </c>
      <c r="K88" s="397">
        <f>9.45345681/G87-0.14325844*G87+0.00124097*G87^2+5.98054622</f>
        <v>3.7936292257149553</v>
      </c>
      <c r="L88" s="621"/>
      <c r="M88" s="221">
        <f>C87*E88*F87*K88/1000000*L87</f>
        <v>82.969391653776412</v>
      </c>
      <c r="N88" s="391">
        <f>0.6037810576/G87-0.0052863845*G87+0.0000423961*G87^2+0.3189943526</f>
        <v>0.24783159171834482</v>
      </c>
      <c r="O88" s="621"/>
      <c r="P88" s="221">
        <f>C87*E88*F87*N88/1000000*O87</f>
        <v>21.873662798094248</v>
      </c>
      <c r="Q88" s="392">
        <f>1.5469182952/G87-0.0051393982*G87+0.0000404677*G87^2+0.2460289003</f>
        <v>0.21891100770692318</v>
      </c>
      <c r="R88" s="659"/>
      <c r="S88" s="221">
        <f t="shared" ref="S88" si="153">C87*E88*F87*Q88/1000000*R87</f>
        <v>38.684355616894578</v>
      </c>
      <c r="T88" s="665"/>
      <c r="U88" s="665"/>
      <c r="V88" s="665"/>
      <c r="W88" s="666"/>
    </row>
    <row r="89" spans="1:23" ht="17.25">
      <c r="A89" s="571"/>
      <c r="B89" s="540" t="s">
        <v>359</v>
      </c>
      <c r="C89" s="553">
        <f>'ｼｰﾄNO.3（表-3）59頁'!$F$30</f>
        <v>9</v>
      </c>
      <c r="D89" s="138" t="s">
        <v>65</v>
      </c>
      <c r="E89" s="294">
        <f>'ｼｰﾄNO.4（表-4）60頁'!W16</f>
        <v>147.25</v>
      </c>
      <c r="F89" s="543">
        <f>'ｼｰﾄNO.4（表-4）60頁'!O16/1000</f>
        <v>0.91</v>
      </c>
      <c r="G89" s="543">
        <f>F89/('ｼｰﾄNO.4（表-4）60頁'!T16/3600)</f>
        <v>30.055045871559635</v>
      </c>
      <c r="H89" s="219">
        <f>-2.71095565/G89-0.09453616*G89+0.00089493*G89^2+3.15403637</f>
        <v>1.030943504144429</v>
      </c>
      <c r="I89" s="620">
        <v>6000</v>
      </c>
      <c r="J89" s="99">
        <f t="shared" ref="J89" si="154">C89*E89*F89*H89/1000000*I89</f>
        <v>7.4597680186160291</v>
      </c>
      <c r="K89" s="396">
        <f>-0.25063622/G89-0.00657231*G89+0.00005332*G89^2+0.29056757</f>
        <v>0.13286151647220723</v>
      </c>
      <c r="L89" s="620">
        <v>1364600</v>
      </c>
      <c r="M89" s="99">
        <f>C89*E89*F89*K89/1000000*L89</f>
        <v>218.6471280922656</v>
      </c>
      <c r="N89" s="390">
        <f>0.093055673/G89-0.0002682273*G89+0.00000218*G89^2+0.0173678037</f>
        <v>1.4371601212148963E-2</v>
      </c>
      <c r="O89" s="620">
        <v>5506900</v>
      </c>
      <c r="P89" s="99">
        <f>C89*E89*F89*N89/1000000*O89</f>
        <v>95.44464196566976</v>
      </c>
      <c r="Q89" s="390">
        <f>0.0505593958/G89-0.000357176*G89+0.0000031505*G89^2+0.0131649024</f>
        <v>6.9580527421799696E-3</v>
      </c>
      <c r="R89" s="658">
        <v>11025800</v>
      </c>
      <c r="S89" s="375">
        <f t="shared" ref="S89" si="155">C89*E89*F89*Q89/1000000*R89</f>
        <v>92.520299940018546</v>
      </c>
      <c r="T89" s="665"/>
      <c r="U89" s="665"/>
      <c r="V89" s="665"/>
      <c r="W89" s="666"/>
    </row>
    <row r="90" spans="1:23" ht="17.25">
      <c r="A90" s="571"/>
      <c r="B90" s="542"/>
      <c r="C90" s="566"/>
      <c r="D90" s="139" t="s">
        <v>66</v>
      </c>
      <c r="E90" s="298">
        <f>'ｼｰﾄNO.4（表-4）60頁'!W17</f>
        <v>7.75</v>
      </c>
      <c r="F90" s="544"/>
      <c r="G90" s="544"/>
      <c r="H90" s="218">
        <f>12.28697452/G89-0.05907844*G89+0.00051753*G89^2+2.69979197</f>
        <v>1.8004902841038075</v>
      </c>
      <c r="I90" s="621"/>
      <c r="J90" s="221">
        <f t="shared" ref="J90" si="156">C89*E90*F89*H90/1000000*I89</f>
        <v>0.68568971734667361</v>
      </c>
      <c r="K90" s="397">
        <f>9.45345681/G89-0.14325844*G89+0.00124097*G89^2+5.98054622</f>
        <v>3.11042070390894</v>
      </c>
      <c r="L90" s="621"/>
      <c r="M90" s="221">
        <f>C89*E90*F89*K90/1000000*L89</f>
        <v>269.40776267464264</v>
      </c>
      <c r="N90" s="391">
        <f>0.6037810576/G89-0.0052863845*G89+0.0000423961*G89^2+0.3189943526</f>
        <v>0.21849764061943486</v>
      </c>
      <c r="O90" s="621"/>
      <c r="P90" s="221">
        <f>C89*E90*F89*N90/1000000*O89</f>
        <v>76.372946499504039</v>
      </c>
      <c r="Q90" s="392">
        <f>1.5469182952/G89-0.0051393982*G89+0.0000404677*G89^2+0.2460289003</f>
        <v>0.17958826277182416</v>
      </c>
      <c r="R90" s="659"/>
      <c r="S90" s="221">
        <f t="shared" ref="S90" si="157">C89*E90*F89*Q90/1000000*R89</f>
        <v>125.68216812965736</v>
      </c>
      <c r="T90" s="665"/>
      <c r="U90" s="665"/>
      <c r="V90" s="665"/>
      <c r="W90" s="666"/>
    </row>
    <row r="91" spans="1:23" ht="17.25">
      <c r="A91" s="571"/>
      <c r="B91" s="540" t="s">
        <v>360</v>
      </c>
      <c r="C91" s="553">
        <f>'ｼｰﾄNO.3（表-3）59頁'!$F$30</f>
        <v>9</v>
      </c>
      <c r="D91" s="138" t="s">
        <v>65</v>
      </c>
      <c r="E91" s="292">
        <f>'ｼｰﾄNO.4（表-4）60頁'!W18</f>
        <v>54.15</v>
      </c>
      <c r="F91" s="543">
        <f>'ｼｰﾄNO.4（表-4）60頁'!O18/1000</f>
        <v>0.76100000000000001</v>
      </c>
      <c r="G91" s="543">
        <f>F91/('ｼｰﾄNO.4（表-4）60頁'!T18/3600)</f>
        <v>22.641322314049585</v>
      </c>
      <c r="H91" s="219">
        <f>-2.71095565/G91-0.09453616*G91+0.00089493*G91^2+3.15403637</f>
        <v>1.3526453340932798</v>
      </c>
      <c r="I91" s="620">
        <v>6000</v>
      </c>
      <c r="J91" s="99">
        <f t="shared" ref="J91" si="158">C91*E91*F91*H91/1000000*I91</f>
        <v>3.009960638502263</v>
      </c>
      <c r="K91" s="396">
        <f>-0.25063622/G91-0.00657231*G91+0.00005332*G91^2+0.29056757</f>
        <v>0.15802532673956798</v>
      </c>
      <c r="L91" s="620">
        <v>1364600</v>
      </c>
      <c r="M91" s="99">
        <f>C91*E91*F91*K91/1000000*L91</f>
        <v>79.975633903976131</v>
      </c>
      <c r="N91" s="390">
        <f>0.093055673/G91-0.0002682273*G91+0.00000218*G91^2+0.0173678037</f>
        <v>1.6522308062949704E-2</v>
      </c>
      <c r="O91" s="620">
        <v>5506900</v>
      </c>
      <c r="P91" s="99">
        <f>C91*E91*F91*N91/1000000*O91</f>
        <v>33.744541593523081</v>
      </c>
      <c r="Q91" s="390">
        <f>0.0505593958/G91-0.000357176*G91+0.0000031505*G91^2+0.0131649024</f>
        <v>8.9260630618954936E-3</v>
      </c>
      <c r="R91" s="658">
        <v>11025800</v>
      </c>
      <c r="S91" s="393">
        <f t="shared" ref="S91" si="159">C91*E91*F91*Q91/1000000*R91</f>
        <v>36.500237334720801</v>
      </c>
      <c r="T91" s="665"/>
      <c r="U91" s="665"/>
      <c r="V91" s="665"/>
      <c r="W91" s="666"/>
    </row>
    <row r="92" spans="1:23" ht="17.25">
      <c r="A92" s="571"/>
      <c r="B92" s="542"/>
      <c r="C92" s="566"/>
      <c r="D92" s="139" t="s">
        <v>66</v>
      </c>
      <c r="E92" s="295">
        <f>'ｼｰﾄNO.4（表-4）60頁'!W19</f>
        <v>2.85</v>
      </c>
      <c r="F92" s="544"/>
      <c r="G92" s="544"/>
      <c r="H92" s="218">
        <f>12.28697452/G91-0.05907844*G91+0.00051753*G91^2+2.69979197</f>
        <v>2.1701582938483104</v>
      </c>
      <c r="I92" s="621"/>
      <c r="J92" s="221">
        <f t="shared" ref="J92" si="160">C91*E92*F91*H92/1000000*I91</f>
        <v>0.2541643820430971</v>
      </c>
      <c r="K92" s="397">
        <f>9.45345681/G91-0.14325844*G91+0.00124097*G91^2+5.98054622</f>
        <v>3.7906746331889405</v>
      </c>
      <c r="L92" s="621"/>
      <c r="M92" s="221">
        <f>C91*E92*F91*K92/1000000*L91</f>
        <v>100.97035941474519</v>
      </c>
      <c r="N92" s="391">
        <f>0.6037810576/G91-0.0052863845*G91+0.0000423961*G91^2+0.3189943526</f>
        <v>0.24770432489329391</v>
      </c>
      <c r="O92" s="621"/>
      <c r="P92" s="221">
        <f>C91*E92*F91*N92/1000000*O91</f>
        <v>26.6264216916239</v>
      </c>
      <c r="Q92" s="392">
        <f>1.5469182952/G91-0.0051393982*G91+0.0000404677*G91^2+0.2460289003</f>
        <v>0.21873385436050466</v>
      </c>
      <c r="R92" s="659"/>
      <c r="S92" s="221">
        <f t="shared" ref="S92" si="161">C91*E92*F91*Q92/1000000*R91</f>
        <v>47.0758469765792</v>
      </c>
      <c r="T92" s="665"/>
      <c r="U92" s="665"/>
      <c r="V92" s="665"/>
      <c r="W92" s="666"/>
    </row>
    <row r="93" spans="1:23" ht="17.25">
      <c r="A93" s="571"/>
      <c r="B93" s="540" t="s">
        <v>232</v>
      </c>
      <c r="C93" s="553">
        <f>'ｼｰﾄNO.3（表-3）59頁'!$F$30</f>
        <v>9</v>
      </c>
      <c r="D93" s="138" t="s">
        <v>65</v>
      </c>
      <c r="E93" s="294">
        <f>'ｼｰﾄNO.4（表-4）60頁'!W20</f>
        <v>158.65</v>
      </c>
      <c r="F93" s="543">
        <f>'ｼｰﾄNO.4（表-4）60頁'!O20/1000</f>
        <v>0.84799999999999998</v>
      </c>
      <c r="G93" s="543">
        <f>F93/('ｼｰﾄNO.4（表-4）60頁'!T20/3600)</f>
        <v>27.752727272727274</v>
      </c>
      <c r="H93" s="219">
        <f>-2.71095565/G93-0.09453616*G93+0.00089493*G93^2+3.15403637</f>
        <v>1.1220051084994243</v>
      </c>
      <c r="I93" s="620">
        <v>6000</v>
      </c>
      <c r="J93" s="99">
        <f t="shared" ref="J93" si="162">C93*E93*F93*H93/1000000*I93</f>
        <v>8.1512558103415547</v>
      </c>
      <c r="K93" s="396">
        <f>-0.25063622/G93-0.00657231*G93+0.00005332*G93^2+0.29056757</f>
        <v>0.14020479834032479</v>
      </c>
      <c r="L93" s="620">
        <v>1364600</v>
      </c>
      <c r="M93" s="99">
        <f>C93*E93*F93*K93/1000000*L93</f>
        <v>231.6576690649122</v>
      </c>
      <c r="N93" s="390">
        <f>0.093055673/G93-0.0002682273*G93+0.00000218*G93^2+0.0173678037</f>
        <v>1.4955858884601478E-2</v>
      </c>
      <c r="O93" s="620">
        <v>5506900</v>
      </c>
      <c r="P93" s="99">
        <f>C93*E93*F93*N93/1000000*O93</f>
        <v>99.72337933332777</v>
      </c>
      <c r="Q93" s="390">
        <f>0.0505593958/G93-0.000357176*G93+0.0000031505*G93^2+0.0131649024</f>
        <v>7.5006342486333456E-3</v>
      </c>
      <c r="R93" s="658">
        <v>11025800</v>
      </c>
      <c r="S93" s="375">
        <f t="shared" ref="S93" si="163">C93*E93*F93*Q93/1000000*R93</f>
        <v>100.13514641204659</v>
      </c>
      <c r="T93" s="665"/>
      <c r="U93" s="665"/>
      <c r="V93" s="665"/>
      <c r="W93" s="666"/>
    </row>
    <row r="94" spans="1:23" ht="17.25">
      <c r="A94" s="571"/>
      <c r="B94" s="542"/>
      <c r="C94" s="566"/>
      <c r="D94" s="139" t="s">
        <v>66</v>
      </c>
      <c r="E94" s="298">
        <f>'ｼｰﾄNO.4（表-4）60頁'!W21</f>
        <v>8.35</v>
      </c>
      <c r="F94" s="544"/>
      <c r="G94" s="544"/>
      <c r="H94" s="218">
        <f>12.28697452/G93-0.05907844*G93+0.00051753*G93^2+2.69979197</f>
        <v>1.9015432666737011</v>
      </c>
      <c r="I94" s="621"/>
      <c r="J94" s="221">
        <f t="shared" ref="J94" si="164">C93*E94*F93*H94/1000000*I93</f>
        <v>0.72708016838380962</v>
      </c>
      <c r="K94" s="397">
        <f>9.45345681/G93-0.14325844*G93+0.00124097*G93^2+5.98054622</f>
        <v>3.3011777457107159</v>
      </c>
      <c r="L94" s="621"/>
      <c r="M94" s="221">
        <f>C93*E94*F93*K94/1000000*L93</f>
        <v>287.07747177998772</v>
      </c>
      <c r="N94" s="391">
        <f>0.6037810576/G93-0.0052863845*G93+0.0000423961*G93^2+0.3189943526</f>
        <v>0.22669256740568483</v>
      </c>
      <c r="O94" s="621"/>
      <c r="P94" s="221">
        <f>C93*E94*F93*N94/1000000*O93</f>
        <v>79.555334928478416</v>
      </c>
      <c r="Q94" s="392">
        <f>1.5469182952/G93-0.0051393982*G93+0.0000404677*G93^2+0.2460289003</f>
        <v>0.190304692944187</v>
      </c>
      <c r="R94" s="659"/>
      <c r="S94" s="221">
        <f t="shared" ref="S94" si="165">C93*E94*F93*Q94/1000000*R93</f>
        <v>133.71632920900811</v>
      </c>
      <c r="T94" s="665"/>
      <c r="U94" s="665"/>
      <c r="V94" s="665"/>
      <c r="W94" s="666"/>
    </row>
    <row r="95" spans="1:23" ht="17.25">
      <c r="A95" s="571"/>
      <c r="B95" s="540" t="s">
        <v>403</v>
      </c>
      <c r="C95" s="553">
        <f>'ｼｰﾄNO.3（表-3）59頁'!$F$30</f>
        <v>9</v>
      </c>
      <c r="D95" s="138" t="s">
        <v>65</v>
      </c>
      <c r="E95" s="292">
        <f>'ｼｰﾄNO.4（表-4）60頁'!W22</f>
        <v>738.15</v>
      </c>
      <c r="F95" s="543">
        <f>'ｼｰﾄNO.4（表-4）60頁'!O22/1000</f>
        <v>0.61699999999999999</v>
      </c>
      <c r="G95" s="543">
        <f>F95/('ｼｰﾄNO.4（表-4）60頁'!T22/3600)</f>
        <v>27.087804878048779</v>
      </c>
      <c r="H95" s="219">
        <f>-2.71095565/G95-0.09453616*G95+0.00089493*G95^2+3.15403637</f>
        <v>1.1498331610692509</v>
      </c>
      <c r="I95" s="620">
        <v>6000</v>
      </c>
      <c r="J95" s="99">
        <f t="shared" ref="J95" si="166">C95*E95*F95*H95/1000000*I95</f>
        <v>28.278630771441986</v>
      </c>
      <c r="K95" s="396">
        <f>-0.25063622/G95-0.00657231*G95+0.00005332*G95^2+0.29056757</f>
        <v>0.14240889225716619</v>
      </c>
      <c r="L95" s="620">
        <v>1364600</v>
      </c>
      <c r="M95" s="99">
        <f>C95*E95*F95*K95/1000000*L95</f>
        <v>796.55317449075415</v>
      </c>
      <c r="N95" s="390">
        <f>0.093055673/G95-0.0002682273*G95+0.00000218*G95^2+0.0173678037</f>
        <v>1.5137022719626959E-2</v>
      </c>
      <c r="O95" s="620">
        <v>5506900</v>
      </c>
      <c r="P95" s="99">
        <f>C95*E95*F95*N95/1000000*O95</f>
        <v>341.68030848427588</v>
      </c>
      <c r="Q95" s="390">
        <f>0.0505593958/G95-0.000357176*G95+0.0000031505*G95^2+0.0131649024</f>
        <v>7.6679656699207913E-3</v>
      </c>
      <c r="R95" s="658">
        <v>11025800</v>
      </c>
      <c r="S95" s="393">
        <f t="shared" ref="S95" si="167">C95*E95*F95*Q95/1000000*R95</f>
        <v>346.54733852967382</v>
      </c>
      <c r="T95" s="665"/>
      <c r="U95" s="665"/>
      <c r="V95" s="665"/>
      <c r="W95" s="666"/>
    </row>
    <row r="96" spans="1:23" ht="17.25">
      <c r="A96" s="571"/>
      <c r="B96" s="542"/>
      <c r="C96" s="566"/>
      <c r="D96" s="139" t="s">
        <v>66</v>
      </c>
      <c r="E96" s="295">
        <f>'ｼｰﾄNO.4（表-4）60頁'!W23</f>
        <v>38.85</v>
      </c>
      <c r="F96" s="544"/>
      <c r="G96" s="544"/>
      <c r="H96" s="218">
        <f>12.28697452/G95-0.05907844*G95+0.00051753*G95^2+2.69979197</f>
        <v>1.9328219392155921</v>
      </c>
      <c r="I96" s="621"/>
      <c r="J96" s="221">
        <f t="shared" ref="J96" si="168">C95*E96*F95*H96/1000000*I95</f>
        <v>2.5018530292550012</v>
      </c>
      <c r="K96" s="397">
        <f>9.45345681/G95-0.14325844*G95+0.00124097*G95^2+5.98054622</f>
        <v>3.3595433546140332</v>
      </c>
      <c r="L96" s="621"/>
      <c r="M96" s="221">
        <f>C95*E96*F95*K96/1000000*L95</f>
        <v>989.01826820899225</v>
      </c>
      <c r="N96" s="391">
        <f>0.6037810576/G95-0.0052863845*G95+0.0000423961*G95^2+0.3189943526</f>
        <v>0.22919567839342808</v>
      </c>
      <c r="O96" s="621"/>
      <c r="P96" s="221">
        <f>C95*E96*F95*N96/1000000*O95</f>
        <v>272.29038833511652</v>
      </c>
      <c r="Q96" s="392">
        <f>1.5469182952/G95-0.0051393982*G95+0.0000404677*G95^2+0.2460289003</f>
        <v>0.19361458064850001</v>
      </c>
      <c r="R96" s="659"/>
      <c r="S96" s="221">
        <f t="shared" ref="S96" si="169">C95*E96*F95*Q96/1000000*R95</f>
        <v>460.53948069253465</v>
      </c>
      <c r="T96" s="665"/>
      <c r="U96" s="665"/>
      <c r="V96" s="665"/>
      <c r="W96" s="666"/>
    </row>
    <row r="97" spans="1:23" ht="17.25">
      <c r="A97" s="571"/>
      <c r="B97" s="540" t="s">
        <v>255</v>
      </c>
      <c r="C97" s="553">
        <f>'ｼｰﾄNO.3（表-3）59頁'!$F$30</f>
        <v>9</v>
      </c>
      <c r="D97" s="138" t="s">
        <v>65</v>
      </c>
      <c r="E97" s="294">
        <f>'ｼｰﾄNO.4（表-4）60頁'!W24</f>
        <v>133</v>
      </c>
      <c r="F97" s="543">
        <f>'ｼｰﾄNO.4（表-4）60頁'!O24/1000</f>
        <v>0.82399999999999995</v>
      </c>
      <c r="G97" s="543">
        <f>F97/('ｼｰﾄNO.4（表-4）60頁'!T24/3600)</f>
        <v>28.523076923076921</v>
      </c>
      <c r="H97" s="219">
        <f>-2.71095565/G97-0.09453616*G97+0.00089493*G97^2+3.15403637</f>
        <v>1.090614460615126</v>
      </c>
      <c r="I97" s="620">
        <v>6000</v>
      </c>
      <c r="J97" s="99">
        <f t="shared" ref="J97" si="170">C97*E97*F97*H97/1000000*I97</f>
        <v>6.4542214782575762</v>
      </c>
      <c r="K97" s="396">
        <f>-0.25063622/G97-0.00657231*G97+0.00005332*G97^2+0.29056757</f>
        <v>0.1376972627690112</v>
      </c>
      <c r="L97" s="620">
        <v>1364600</v>
      </c>
      <c r="M97" s="99">
        <f>C97*E97*F97*K97/1000000*L97</f>
        <v>185.33269294035446</v>
      </c>
      <c r="N97" s="390">
        <f>0.093055673/G97-0.0002682273*G97+0.00000218*G97^2+0.0173678037</f>
        <v>1.4753179146136358E-2</v>
      </c>
      <c r="O97" s="620">
        <v>5506900</v>
      </c>
      <c r="P97" s="99">
        <f>C97*E97*F97*N97/1000000*O97</f>
        <v>80.133510413074973</v>
      </c>
      <c r="Q97" s="390">
        <f>0.0505593958/G97-0.000357176*G97+0.0000031505*G97^2+0.0131649024</f>
        <v>7.3128619003372843E-3</v>
      </c>
      <c r="R97" s="658">
        <v>11025800</v>
      </c>
      <c r="S97" s="375">
        <f t="shared" ref="S97" si="171">C97*E97*F97*Q97/1000000*R97</f>
        <v>79.527777292467448</v>
      </c>
      <c r="T97" s="665"/>
      <c r="U97" s="665"/>
      <c r="V97" s="665"/>
      <c r="W97" s="666"/>
    </row>
    <row r="98" spans="1:23" ht="17.25">
      <c r="A98" s="571"/>
      <c r="B98" s="542"/>
      <c r="C98" s="566"/>
      <c r="D98" s="139" t="s">
        <v>66</v>
      </c>
      <c r="E98" s="298">
        <f>'ｼｰﾄNO.4（表-4）60頁'!W25</f>
        <v>7</v>
      </c>
      <c r="F98" s="544"/>
      <c r="G98" s="544"/>
      <c r="H98" s="218">
        <f>12.28697452/G97-0.05907844*G97+0.00051753*G97^2+2.69979197</f>
        <v>1.8665109593380467</v>
      </c>
      <c r="I98" s="621"/>
      <c r="J98" s="221">
        <f t="shared" ref="J98" si="172">C97*E98*F97*H98/1000000*I97</f>
        <v>0.58136590152694001</v>
      </c>
      <c r="K98" s="397">
        <f>9.45345681/G97-0.14325844*G97+0.00124097*G97^2+5.98054622</f>
        <v>3.2354174852760047</v>
      </c>
      <c r="L98" s="621"/>
      <c r="M98" s="221">
        <f>C97*E98*F97*K98/1000000*L97</f>
        <v>229.19411195956124</v>
      </c>
      <c r="N98" s="391">
        <f>0.6037810576/G97-0.0052863845*G97+0.0000423961*G97^2+0.3189943526</f>
        <v>0.22387058289813042</v>
      </c>
      <c r="O98" s="621"/>
      <c r="P98" s="221">
        <f>C97*E98*F97*N98/1000000*O97</f>
        <v>63.998822177668508</v>
      </c>
      <c r="Q98" s="392">
        <f>1.5469182952/G97-0.0051393982*G97+0.0000404677*G97^2+0.2460289003</f>
        <v>0.18659451238229957</v>
      </c>
      <c r="R98" s="659"/>
      <c r="S98" s="221">
        <f t="shared" ref="S98" si="173">C97*E98*F97*Q98/1000000*R97</f>
        <v>106.80134914832047</v>
      </c>
      <c r="T98" s="665"/>
      <c r="U98" s="665"/>
      <c r="V98" s="665"/>
      <c r="W98" s="666"/>
    </row>
    <row r="99" spans="1:23" ht="17.25">
      <c r="A99" s="571"/>
      <c r="B99" s="540" t="s">
        <v>362</v>
      </c>
      <c r="C99" s="553">
        <f>'ｼｰﾄNO.3（表-3）59頁'!$F$30</f>
        <v>9</v>
      </c>
      <c r="D99" s="138" t="s">
        <v>65</v>
      </c>
      <c r="E99" s="292">
        <f>'ｼｰﾄNO.4（表-4）60頁'!W26</f>
        <v>47.5</v>
      </c>
      <c r="F99" s="543">
        <f>'ｼｰﾄNO.4（表-4）60頁'!O26/1000</f>
        <v>0.91</v>
      </c>
      <c r="G99" s="543">
        <f>F99/('ｼｰﾄNO.4（表-4）60頁'!T26/3600)</f>
        <v>22.90909090909091</v>
      </c>
      <c r="H99" s="219">
        <f>-2.71095565/G99-0.09453616*G99+0.00089493*G99^2+3.15403637</f>
        <v>1.3396464522592815</v>
      </c>
      <c r="I99" s="620">
        <v>6000</v>
      </c>
      <c r="J99" s="99">
        <f t="shared" ref="J99" si="174">C99*E99*F99*H99/1000000*I99</f>
        <v>3.1269357665410022</v>
      </c>
      <c r="K99" s="396">
        <f>-0.25063622/G99-0.00657231*G99+0.00005332*G99^2+0.29056757</f>
        <v>0.15704519892234028</v>
      </c>
      <c r="L99" s="620">
        <v>1364600</v>
      </c>
      <c r="M99" s="99">
        <f>C99*E99*F99*K99/1000000*L99</f>
        <v>83.369566313787772</v>
      </c>
      <c r="N99" s="390">
        <f>0.093055673/G99-0.0002682273*G99+0.00000218*G99^2+0.0173678037</f>
        <v>1.6429035733051291E-2</v>
      </c>
      <c r="O99" s="620">
        <v>5506900</v>
      </c>
      <c r="P99" s="99">
        <f>C99*E99*F99*N99/1000000*O99</f>
        <v>35.196280952096281</v>
      </c>
      <c r="Q99" s="390">
        <f>0.0505593958/G99-0.000357176*G99+0.0000031505*G99^2+0.0131649024</f>
        <v>8.8427484176374117E-3</v>
      </c>
      <c r="R99" s="658">
        <v>11025800</v>
      </c>
      <c r="S99" s="393">
        <f t="shared" ref="S99" si="175">C99*E99*F99*Q99/1000000*R99</f>
        <v>37.929305530127159</v>
      </c>
      <c r="T99" s="665"/>
      <c r="U99" s="665"/>
      <c r="V99" s="665"/>
      <c r="W99" s="666"/>
    </row>
    <row r="100" spans="1:23" ht="17.25">
      <c r="A100" s="571"/>
      <c r="B100" s="542"/>
      <c r="C100" s="566"/>
      <c r="D100" s="139" t="s">
        <v>66</v>
      </c>
      <c r="E100" s="295">
        <f>'ｼｰﾄNO.4（表-4）60頁'!W27</f>
        <v>2.5</v>
      </c>
      <c r="F100" s="544"/>
      <c r="G100" s="544"/>
      <c r="H100" s="218">
        <f>12.28697452/G99-0.05907844*G99+0.00051753*G99^2+2.69979197</f>
        <v>2.154308237381608</v>
      </c>
      <c r="I100" s="621"/>
      <c r="J100" s="221">
        <f t="shared" ref="J100" si="176">C99*E100*F99*H100/1000000*I99</f>
        <v>0.26465676696233059</v>
      </c>
      <c r="K100" s="397">
        <f>9.45345681/G99-0.14325844*G99+0.00124097*G99^2+5.98054622</f>
        <v>3.7625703620867768</v>
      </c>
      <c r="L100" s="621"/>
      <c r="M100" s="221">
        <f>C99*E100*F99*K100/1000000*L99</f>
        <v>105.12691199222152</v>
      </c>
      <c r="N100" s="391">
        <f>0.6037810576/G99-0.0052863845*G99+0.0000423961*G99^2+0.3189943526</f>
        <v>0.24649420636382</v>
      </c>
      <c r="O100" s="621"/>
      <c r="P100" s="221">
        <f>C99*E100*F99*N100/1000000*O99</f>
        <v>27.793152899385248</v>
      </c>
      <c r="Q100" s="392">
        <f>1.5469182952/G99-0.0051393982*G99+0.0000404677*G99^2+0.2460289003</f>
        <v>0.2170526901967598</v>
      </c>
      <c r="R100" s="659"/>
      <c r="S100" s="221">
        <f t="shared" ref="S100" si="177">C99*E100*F99*Q100/1000000*R99</f>
        <v>49.000351318425125</v>
      </c>
      <c r="T100" s="665"/>
      <c r="U100" s="665"/>
      <c r="V100" s="665"/>
      <c r="W100" s="666"/>
    </row>
    <row r="101" spans="1:23" ht="17.25">
      <c r="A101" s="571"/>
      <c r="B101" s="540" t="s">
        <v>236</v>
      </c>
      <c r="C101" s="553">
        <f>'ｼｰﾄNO.3（表-3）59頁'!$F$30</f>
        <v>9</v>
      </c>
      <c r="D101" s="138" t="s">
        <v>65</v>
      </c>
      <c r="E101" s="294">
        <f>'ｼｰﾄNO.4（表-4）60頁'!W28</f>
        <v>743.84999999999991</v>
      </c>
      <c r="F101" s="543">
        <f>'ｼｰﾄNO.4（表-4）60頁'!O28/1000</f>
        <v>0.61699999999999999</v>
      </c>
      <c r="G101" s="543">
        <f>F101/('ｼｰﾄNO.4（表-4）60頁'!T28/3600)</f>
        <v>27.087804878048779</v>
      </c>
      <c r="H101" s="219">
        <f>-2.71095565/G101-0.09453616*G101+0.00089493*G101^2+3.15403637</f>
        <v>1.1498331610692509</v>
      </c>
      <c r="I101" s="620">
        <v>6000</v>
      </c>
      <c r="J101" s="99">
        <f t="shared" ref="J101" si="178">C101*E101*F101*H101/1000000*I101</f>
        <v>28.496998576626869</v>
      </c>
      <c r="K101" s="396">
        <f>-0.25063622/G101-0.00657231*G101+0.00005332*G101^2+0.29056757</f>
        <v>0.14240889225716619</v>
      </c>
      <c r="L101" s="620">
        <v>1364600</v>
      </c>
      <c r="M101" s="99">
        <f>C101*E101*F101*K101/1000000*L101</f>
        <v>802.70416425516157</v>
      </c>
      <c r="N101" s="390">
        <f>0.093055673/G101-0.0002682273*G101+0.00000218*G101^2+0.0173678037</f>
        <v>1.5137022719626959E-2</v>
      </c>
      <c r="O101" s="620">
        <v>5506900</v>
      </c>
      <c r="P101" s="99">
        <f>C101*E101*F101*N101/1000000*O101</f>
        <v>344.31876646484949</v>
      </c>
      <c r="Q101" s="390">
        <f>0.0505593958/G101-0.000357176*G101+0.0000031505*G101^2+0.0131649024</f>
        <v>7.6679656699207913E-3</v>
      </c>
      <c r="R101" s="658">
        <v>11025800</v>
      </c>
      <c r="S101" s="375">
        <f t="shared" ref="S101" si="179">C101*E101*F101*Q101/1000000*R101</f>
        <v>349.22337975384124</v>
      </c>
      <c r="T101" s="665"/>
      <c r="U101" s="665"/>
      <c r="V101" s="665"/>
      <c r="W101" s="666"/>
    </row>
    <row r="102" spans="1:23" ht="17.25">
      <c r="A102" s="572"/>
      <c r="B102" s="542"/>
      <c r="C102" s="566"/>
      <c r="D102" s="139" t="s">
        <v>66</v>
      </c>
      <c r="E102" s="298">
        <f>'ｼｰﾄNO.4（表-4）60頁'!W29</f>
        <v>39.150000000000006</v>
      </c>
      <c r="F102" s="544"/>
      <c r="G102" s="544"/>
      <c r="H102" s="218">
        <f>12.28697452/G101-0.05907844*G101+0.00051753*G101^2+2.69979197</f>
        <v>1.9328219392155921</v>
      </c>
      <c r="I102" s="621"/>
      <c r="J102" s="221">
        <f t="shared" ref="J102" si="180">C101*E102*F101*H102/1000000*I101</f>
        <v>2.5211723576662366</v>
      </c>
      <c r="K102" s="397">
        <f>9.45345681/G101-0.14325844*G101+0.00124097*G101^2+5.98054622</f>
        <v>3.3595433546140332</v>
      </c>
      <c r="L102" s="621"/>
      <c r="M102" s="221">
        <f>C101*E102*F101*K102/1000000*L101</f>
        <v>996.65547491330858</v>
      </c>
      <c r="N102" s="391">
        <f>0.6037810576/G101-0.0052863845*G101+0.0000423961*G101^2+0.3189943526</f>
        <v>0.22919567839342808</v>
      </c>
      <c r="O102" s="621"/>
      <c r="P102" s="221">
        <f>C101*E102*F101*N102/1000000*O101</f>
        <v>274.39301681646873</v>
      </c>
      <c r="Q102" s="392">
        <f>1.5469182952/G101-0.0051393982*G101+0.0000404677*G101^2+0.2460289003</f>
        <v>0.19361458064850001</v>
      </c>
      <c r="R102" s="659"/>
      <c r="S102" s="221">
        <f t="shared" ref="S102" si="181">C101*E102*F101*Q102/1000000*R101</f>
        <v>464.09577011873188</v>
      </c>
      <c r="T102" s="617"/>
      <c r="U102" s="617"/>
      <c r="V102" s="617"/>
      <c r="W102" s="666"/>
    </row>
    <row r="103" spans="1:23" ht="17.25">
      <c r="A103" s="570" t="s">
        <v>977</v>
      </c>
      <c r="B103" s="540" t="s">
        <v>405</v>
      </c>
      <c r="C103" s="553">
        <f>'ｼｰﾄNO.3（表-3）59頁'!$F$30</f>
        <v>9</v>
      </c>
      <c r="D103" s="138" t="s">
        <v>65</v>
      </c>
      <c r="E103" s="292">
        <f>'ｼｰﾄNO.4（表-4）60頁'!W33</f>
        <v>772.34999999999991</v>
      </c>
      <c r="F103" s="543">
        <f>'ｼｰﾄNO.4（表-4）60頁'!O33/1000</f>
        <v>1.054</v>
      </c>
      <c r="G103" s="543">
        <f>F103/('ｼｰﾄNO.4（表-4）60頁'!T33/3600)</f>
        <v>29.643750000000001</v>
      </c>
      <c r="H103" s="219">
        <f>-2.71095565/G103-0.09453616*G103+0.00089493*G103^2+3.15403637</f>
        <v>1.0466003564631281</v>
      </c>
      <c r="I103" s="620">
        <v>6000</v>
      </c>
      <c r="J103" s="99">
        <f>C103*E103*F103*H103/1000000*I103</f>
        <v>46.007581052948531</v>
      </c>
      <c r="K103" s="396">
        <f>-0.25063622/G103-0.00657231*G103+0.00005332*G103^2+0.29056757</f>
        <v>0.13413976437914132</v>
      </c>
      <c r="L103" s="620">
        <v>1364600</v>
      </c>
      <c r="M103" s="99">
        <f>C103*E103*F103*K103/1000000*L103</f>
        <v>1341.0969576596506</v>
      </c>
      <c r="N103" s="390">
        <f>0.093055673/G103-0.0002682273*G103+0.00000218*G103^2+0.0173678037</f>
        <v>1.4471352818974903E-2</v>
      </c>
      <c r="O103" s="620">
        <v>5506900</v>
      </c>
      <c r="P103" s="99">
        <f>C103*E103*F103*N103/1000000*O103</f>
        <v>583.86654776030605</v>
      </c>
      <c r="Q103" s="390">
        <f>0.0505593958/G103-0.000357176*G103+0.0000031505*G103^2+0.0131649024</f>
        <v>7.0509410543262221E-3</v>
      </c>
      <c r="R103" s="658">
        <v>11025800</v>
      </c>
      <c r="S103" s="375">
        <f t="shared" ref="S103" si="182">C103*E103*F103*Q103/1000000*R103</f>
        <v>569.5796516277195</v>
      </c>
      <c r="T103" s="616">
        <f>SUM(J103:J126)+SUM(M103:M126)+SUM(P103:P126)+SUM(S103:S126)</f>
        <v>21498.084721311359</v>
      </c>
      <c r="U103" s="616">
        <f>'ｼｰﾄNO.3（表-3）59頁'!$F$39</f>
        <v>12</v>
      </c>
      <c r="V103" s="616">
        <f>T103*U103</f>
        <v>257977.01665573631</v>
      </c>
      <c r="W103" s="666"/>
    </row>
    <row r="104" spans="1:23" ht="17.25">
      <c r="A104" s="571"/>
      <c r="B104" s="542"/>
      <c r="C104" s="566"/>
      <c r="D104" s="139" t="s">
        <v>66</v>
      </c>
      <c r="E104" s="295">
        <f>'ｼｰﾄNO.4（表-4）60頁'!W34</f>
        <v>40.650000000000006</v>
      </c>
      <c r="F104" s="544"/>
      <c r="G104" s="544"/>
      <c r="H104" s="218">
        <f>12.28697452/G103-0.05907844*G103+0.00051753*G103^2+2.69979197</f>
        <v>1.8177538030136606</v>
      </c>
      <c r="I104" s="621"/>
      <c r="J104" s="221">
        <f>C103*E104*F103*H104/1000000*I103</f>
        <v>4.205619547137033</v>
      </c>
      <c r="K104" s="397">
        <f>9.45345681/G103-0.14325844*G103+0.00124097*G103^2+5.98054622</f>
        <v>3.1432357925564749</v>
      </c>
      <c r="L104" s="621"/>
      <c r="M104" s="221">
        <f>C103*E104*F103*K104/1000000*L103</f>
        <v>1653.96379394012</v>
      </c>
      <c r="N104" s="391">
        <f>0.6037810576/G103-0.0052863845*G103+0.0000423961*G103^2+0.3189943526</f>
        <v>0.21990965021660547</v>
      </c>
      <c r="O104" s="621"/>
      <c r="P104" s="221">
        <f>C103*E104*F103*N104/1000000*O103</f>
        <v>466.97663161180054</v>
      </c>
      <c r="Q104" s="392">
        <f>1.5469182952/G103-0.0051393982*G103+0.0000404677*G103^2+0.2460289003</f>
        <v>0.18142255744628519</v>
      </c>
      <c r="R104" s="659"/>
      <c r="S104" s="221">
        <f t="shared" ref="S104" si="183">C103*E104*F103*Q104/1000000*R103</f>
        <v>771.33860028858635</v>
      </c>
      <c r="T104" s="665"/>
      <c r="U104" s="665"/>
      <c r="V104" s="665"/>
      <c r="W104" s="666"/>
    </row>
    <row r="105" spans="1:23" ht="17.25">
      <c r="A105" s="571"/>
      <c r="B105" s="540" t="s">
        <v>406</v>
      </c>
      <c r="C105" s="553">
        <f>'ｼｰﾄNO.3（表-3）59頁'!$F$30</f>
        <v>9</v>
      </c>
      <c r="D105" s="138" t="s">
        <v>65</v>
      </c>
      <c r="E105" s="292">
        <f>'ｼｰﾄNO.4（表-4）60頁'!W35</f>
        <v>148.19999999999999</v>
      </c>
      <c r="F105" s="543">
        <f>'ｼｰﾄNO.4（表-4）60頁'!O35/1000</f>
        <v>0.76100000000000001</v>
      </c>
      <c r="G105" s="543">
        <f>F105/('ｼｰﾄNO.4（表-4）60頁'!T35/3600)</f>
        <v>27.955102040816328</v>
      </c>
      <c r="H105" s="219">
        <f>-2.71095565/G105-0.09453616*G105+0.00089493*G105^2+3.15403637</f>
        <v>1.1136698404962537</v>
      </c>
      <c r="I105" s="620">
        <v>6000</v>
      </c>
      <c r="J105" s="99">
        <f t="shared" ref="J105" si="184">C105*E105*F105*H105/1000000*I105</f>
        <v>6.7823949966373211</v>
      </c>
      <c r="K105" s="396">
        <f>-0.25063622/G105-0.00657231*G105+0.00005332*G105^2+0.29056757</f>
        <v>0.13954122906549798</v>
      </c>
      <c r="L105" s="620">
        <v>1364600</v>
      </c>
      <c r="M105" s="99">
        <f>C105*E105*F105*K105/1000000*L105</f>
        <v>193.27838171207401</v>
      </c>
      <c r="N105" s="390">
        <f>0.093055673/G105-0.0002682273*G105+0.00000218*G105^2+0.0173678037</f>
        <v>1.4901879955931608E-2</v>
      </c>
      <c r="O105" s="620">
        <v>5506900</v>
      </c>
      <c r="P105" s="99">
        <f>C105*E105*F105*N105/1000000*O105</f>
        <v>83.295899147207066</v>
      </c>
      <c r="Q105" s="390">
        <f>0.0505593958/G105-0.000357176*G105+0.0000031505*G105^2+0.0131649024</f>
        <v>7.450680750222689E-3</v>
      </c>
      <c r="R105" s="658">
        <v>11025800</v>
      </c>
      <c r="S105" s="375">
        <f t="shared" ref="S105" si="185">C105*E105*F105*Q105/1000000*R105</f>
        <v>83.383752416847187</v>
      </c>
      <c r="T105" s="665"/>
      <c r="U105" s="665"/>
      <c r="V105" s="665"/>
      <c r="W105" s="666"/>
    </row>
    <row r="106" spans="1:23" ht="17.25">
      <c r="A106" s="571"/>
      <c r="B106" s="542"/>
      <c r="C106" s="566"/>
      <c r="D106" s="139" t="s">
        <v>66</v>
      </c>
      <c r="E106" s="297">
        <f>'ｼｰﾄNO.4（表-4）60頁'!W36</f>
        <v>7.8000000000000007</v>
      </c>
      <c r="F106" s="544"/>
      <c r="G106" s="544"/>
      <c r="H106" s="218">
        <f>12.28697452/G105-0.05907844*G105+0.00051753*G105^2+2.69979197</f>
        <v>1.8922167930969032</v>
      </c>
      <c r="I106" s="621"/>
      <c r="J106" s="221">
        <f t="shared" ref="J106" si="186">C105*E106*F105*H106/1000000*I105</f>
        <v>0.60651830378508842</v>
      </c>
      <c r="K106" s="397">
        <f>9.45345681/G105-0.14325844*G105+0.00124097*G105^2+5.98054622</f>
        <v>3.2837104457456512</v>
      </c>
      <c r="L106" s="621"/>
      <c r="M106" s="221">
        <f>C105*E106*F105*K106/1000000*L105</f>
        <v>239.38227516401381</v>
      </c>
      <c r="N106" s="391">
        <f>0.6037810576/G105-0.0052863845*G105+0.0000423961*G105^2+0.3189943526</f>
        <v>0.22594320837961243</v>
      </c>
      <c r="O106" s="621"/>
      <c r="P106" s="221">
        <f>C105*E106*F105*N106/1000000*O105</f>
        <v>66.470393611375528</v>
      </c>
      <c r="Q106" s="392">
        <f>1.5469182952/G105-0.0051393982*G105+0.0000404677*G105^2+0.2460289003</f>
        <v>0.18931732307317983</v>
      </c>
      <c r="R106" s="659"/>
      <c r="S106" s="221">
        <f t="shared" ref="S106" si="187">C105*E106*F105*Q106/1000000*R105</f>
        <v>111.51216155921465</v>
      </c>
      <c r="T106" s="665"/>
      <c r="U106" s="665"/>
      <c r="V106" s="665"/>
      <c r="W106" s="666"/>
    </row>
    <row r="107" spans="1:23" ht="17.25">
      <c r="A107" s="571"/>
      <c r="B107" s="540" t="s">
        <v>407</v>
      </c>
      <c r="C107" s="553">
        <f>'ｼｰﾄNO.3（表-3）59頁'!$F$30</f>
        <v>9</v>
      </c>
      <c r="D107" s="138" t="s">
        <v>65</v>
      </c>
      <c r="E107" s="401">
        <f>'ｼｰﾄNO.4（表-4）60頁'!W37</f>
        <v>41.8</v>
      </c>
      <c r="F107" s="543">
        <f>'ｼｰﾄNO.4（表-4）60頁'!O37/1000</f>
        <v>0.82399999999999995</v>
      </c>
      <c r="G107" s="543">
        <f>F107/('ｼｰﾄNO.4（表-4）60頁'!T37/3600)</f>
        <v>24.927731092436975</v>
      </c>
      <c r="H107" s="219">
        <f>-2.71095565/G107-0.09453616*G107+0.00089493*G107^2+3.15403637</f>
        <v>1.2448139350987362</v>
      </c>
      <c r="I107" s="620">
        <v>6000</v>
      </c>
      <c r="J107" s="99">
        <f t="shared" ref="J107" si="188">C107*E107*F107*H107/1000000*I107</f>
        <v>2.3152702677872101</v>
      </c>
      <c r="K107" s="396">
        <f>-0.25063622/G107-0.00657231*G107+0.00005332*G107^2+0.29056757</f>
        <v>0.14981288928616346</v>
      </c>
      <c r="L107" s="620">
        <v>1364600</v>
      </c>
      <c r="M107" s="99">
        <f>C107*E107*F107*K107/1000000*L107</f>
        <v>63.372457634878913</v>
      </c>
      <c r="N107" s="390">
        <f>0.093055673/G107-0.0002682273*G107+0.00000218*G107^2+0.0173678037</f>
        <v>1.5769157934508494E-2</v>
      </c>
      <c r="O107" s="620">
        <v>5506900</v>
      </c>
      <c r="P107" s="99">
        <f>C107*E107*F107*N107/1000000*O107</f>
        <v>26.919171908389597</v>
      </c>
      <c r="Q107" s="390">
        <f>0.0505593958/G107-0.000357176*G107+0.0000031505*G107^2+0.0131649024</f>
        <v>8.2472488906841519E-3</v>
      </c>
      <c r="R107" s="658">
        <v>11025800</v>
      </c>
      <c r="S107" s="393">
        <f t="shared" ref="S107" si="189">C107*E107*F107*Q107/1000000*R107</f>
        <v>28.188061769672274</v>
      </c>
      <c r="T107" s="665"/>
      <c r="U107" s="665"/>
      <c r="V107" s="665"/>
      <c r="W107" s="666"/>
    </row>
    <row r="108" spans="1:23" ht="17.25">
      <c r="A108" s="571"/>
      <c r="B108" s="542"/>
      <c r="C108" s="566"/>
      <c r="D108" s="139" t="s">
        <v>66</v>
      </c>
      <c r="E108" s="295">
        <f>'ｼｰﾄNO.4（表-4）60頁'!W38</f>
        <v>2.2000000000000002</v>
      </c>
      <c r="F108" s="544"/>
      <c r="G108" s="544"/>
      <c r="H108" s="218">
        <f>12.28697452/G107-0.05907844*G107+0.00051753*G107^2+2.69979197</f>
        <v>2.0415932365843594</v>
      </c>
      <c r="I108" s="621"/>
      <c r="J108" s="221">
        <f t="shared" ref="J108" si="190">C107*E108*F107*H108/1000000*I107</f>
        <v>0.19985401184112686</v>
      </c>
      <c r="K108" s="397">
        <f>9.45345681/G107-0.14325844*G107+0.00124097*G107^2+5.98054622</f>
        <v>3.5598014520360097</v>
      </c>
      <c r="L108" s="621"/>
      <c r="M108" s="221">
        <f>C107*E108*F107*K108/1000000*L107</f>
        <v>79.254429618541934</v>
      </c>
      <c r="N108" s="391">
        <f>0.6037810576/G107-0.0052863845*G107+0.0000423961*G107^2+0.3189943526</f>
        <v>0.2377826293315011</v>
      </c>
      <c r="O108" s="621"/>
      <c r="P108" s="221">
        <f>C107*E108*F107*N108/1000000*O107</f>
        <v>21.363859698344267</v>
      </c>
      <c r="Q108" s="392">
        <f>1.5469182952/G107-0.0051393982*G107+0.0000404677*G107^2+0.2460289003</f>
        <v>0.2051177809551076</v>
      </c>
      <c r="R108" s="659"/>
      <c r="S108" s="221">
        <f t="shared" ref="S108" si="191">C107*E108*F107*Q108/1000000*R107</f>
        <v>36.898254488818331</v>
      </c>
      <c r="T108" s="665"/>
      <c r="U108" s="665"/>
      <c r="V108" s="665"/>
      <c r="W108" s="666"/>
    </row>
    <row r="109" spans="1:23" ht="17.25">
      <c r="A109" s="571"/>
      <c r="B109" s="540" t="s">
        <v>408</v>
      </c>
      <c r="C109" s="553">
        <f>'ｼｰﾄNO.3（表-3）59頁'!$F$30</f>
        <v>9</v>
      </c>
      <c r="D109" s="138" t="s">
        <v>65</v>
      </c>
      <c r="E109" s="294">
        <f>'ｼｰﾄNO.4（表-4）60頁'!W39</f>
        <v>753.34999999999991</v>
      </c>
      <c r="F109" s="543">
        <f>'ｼｰﾄNO.4（表-4）60頁'!O39/1000</f>
        <v>1.054</v>
      </c>
      <c r="G109" s="543">
        <f>F109/('ｼｰﾄNO.4（表-4）60頁'!T39/3600)</f>
        <v>30.6</v>
      </c>
      <c r="H109" s="219">
        <f>-2.71095565/G109-0.09453616*G109+0.00089493*G109^2+3.15403637</f>
        <v>1.0106132069045755</v>
      </c>
      <c r="I109" s="620">
        <v>6000</v>
      </c>
      <c r="J109" s="99">
        <f t="shared" ref="J109" si="192">C109*E109*F109*H109/1000000*I109</f>
        <v>43.332738168437615</v>
      </c>
      <c r="K109" s="396">
        <f>-0.25063622/G109-0.00657231*G109+0.00005332*G109^2+0.29056757</f>
        <v>0.13119087305620916</v>
      </c>
      <c r="L109" s="620">
        <v>1364600</v>
      </c>
      <c r="M109" s="99">
        <f>C109*E109*F109*K109/1000000*L109</f>
        <v>1279.3486114663865</v>
      </c>
      <c r="N109" s="390">
        <f>0.093055673/G109-0.0002682273*G109+0.00000218*G109^2+0.0173678037</f>
        <v>1.4242348185359476E-2</v>
      </c>
      <c r="O109" s="620">
        <v>5506900</v>
      </c>
      <c r="P109" s="99">
        <f>C109*E109*F109*N109/1000000*O109</f>
        <v>560.4910756012647</v>
      </c>
      <c r="Q109" s="390">
        <f>0.0505593958/G109-0.000357176*G109+0.0000031505*G109^2+0.0131649024</f>
        <v>6.8375868166013053E-3</v>
      </c>
      <c r="R109" s="658">
        <v>11025800</v>
      </c>
      <c r="S109" s="375">
        <f t="shared" ref="S109" si="193">C109*E109*F109*Q109/1000000*R109</f>
        <v>538.75693922824041</v>
      </c>
      <c r="T109" s="665"/>
      <c r="U109" s="665"/>
      <c r="V109" s="665"/>
      <c r="W109" s="666"/>
    </row>
    <row r="110" spans="1:23" ht="17.25">
      <c r="A110" s="571"/>
      <c r="B110" s="542"/>
      <c r="C110" s="566"/>
      <c r="D110" s="139" t="s">
        <v>66</v>
      </c>
      <c r="E110" s="298">
        <f>'ｼｰﾄNO.4（表-4）60頁'!W40</f>
        <v>39.650000000000006</v>
      </c>
      <c r="F110" s="544"/>
      <c r="G110" s="544"/>
      <c r="H110" s="218">
        <f>12.28697452/G109-0.05907844*G109+0.00051753*G109^2+2.69979197</f>
        <v>1.7781212118326797</v>
      </c>
      <c r="I110" s="621"/>
      <c r="J110" s="221">
        <f t="shared" ref="J110" si="194">C109*E110*F109*H110/1000000*I109</f>
        <v>4.0127206342943182</v>
      </c>
      <c r="K110" s="397">
        <f>9.45345681/G109-0.14325844*G109+0.00124097*G109^2+5.98054622</f>
        <v>3.0677691222588237</v>
      </c>
      <c r="L110" s="621"/>
      <c r="M110" s="221">
        <f>C109*E110*F109*K110/1000000*L109</f>
        <v>1574.5423665336648</v>
      </c>
      <c r="N110" s="391">
        <f>0.6037810576/G109-0.0052863845*G109+0.0000423961*G109^2+0.3189943526</f>
        <v>0.21666040620711108</v>
      </c>
      <c r="O110" s="621"/>
      <c r="P110" s="221">
        <f>C109*E110*F109*N110/1000000*O109</f>
        <v>448.75887974436336</v>
      </c>
      <c r="Q110" s="392">
        <f>1.5469182952/G109-0.0051393982*G109+0.0000404677*G109^2+0.2460289003</f>
        <v>0.17720853641605228</v>
      </c>
      <c r="R110" s="659"/>
      <c r="S110" s="221">
        <f t="shared" ref="S110" si="195">C109*E110*F109*Q110/1000000*R109</f>
        <v>734.88783970596694</v>
      </c>
      <c r="T110" s="665"/>
      <c r="U110" s="665"/>
      <c r="V110" s="665"/>
      <c r="W110" s="666"/>
    </row>
    <row r="111" spans="1:23" ht="17.25">
      <c r="A111" s="571"/>
      <c r="B111" s="540" t="s">
        <v>409</v>
      </c>
      <c r="C111" s="553">
        <f>'ｼｰﾄNO.3（表-3）59頁'!$F$30</f>
        <v>9</v>
      </c>
      <c r="D111" s="138" t="s">
        <v>65</v>
      </c>
      <c r="E111" s="292">
        <f>'ｼｰﾄNO.4（表-4）60頁'!W41</f>
        <v>39.9</v>
      </c>
      <c r="F111" s="543">
        <f>'ｼｰﾄNO.4（表-4）60頁'!O41/1000</f>
        <v>0.84799999999999998</v>
      </c>
      <c r="G111" s="543">
        <f>F111/('ｼｰﾄNO.4（表-4）60頁'!T41/3600)</f>
        <v>22.613333333333333</v>
      </c>
      <c r="H111" s="219">
        <f>-2.71095565/G111-0.09453616*G111+0.00089493*G111^2+3.15403637</f>
        <v>1.3540095598927391</v>
      </c>
      <c r="I111" s="620">
        <v>6000</v>
      </c>
      <c r="J111" s="99">
        <f t="shared" ref="J111" si="196">C111*E111*F111*H111/1000000*I111</f>
        <v>2.4739119500876714</v>
      </c>
      <c r="K111" s="396">
        <f>-0.25063622/G111-0.00657231*G111+0.00005332*G111^2+0.29056757</f>
        <v>0.15812804080870232</v>
      </c>
      <c r="L111" s="620">
        <v>1364600</v>
      </c>
      <c r="M111" s="99">
        <f>C111*E111*F111*K111/1000000*L111</f>
        <v>65.709099336071944</v>
      </c>
      <c r="N111" s="390">
        <f>0.093055673/G111-0.0002682273*G111+0.00000218*G111^2+0.0173678037</f>
        <v>1.6532141236016248E-2</v>
      </c>
      <c r="O111" s="620">
        <v>5506900</v>
      </c>
      <c r="P111" s="99">
        <f>C111*E111*F111*N111/1000000*O111</f>
        <v>27.723467876618166</v>
      </c>
      <c r="Q111" s="390">
        <f>0.0505593958/G111-0.000357176*G111+0.0000031505*G111^2+0.0131649024</f>
        <v>8.9348334326093265E-3</v>
      </c>
      <c r="R111" s="658">
        <v>11025800</v>
      </c>
      <c r="S111" s="394">
        <f t="shared" ref="S111" si="197">C111*E111*F111*Q111/1000000*R111</f>
        <v>29.999072557387411</v>
      </c>
      <c r="T111" s="665"/>
      <c r="U111" s="665"/>
      <c r="V111" s="665"/>
      <c r="W111" s="666"/>
    </row>
    <row r="112" spans="1:23" ht="17.25">
      <c r="A112" s="571"/>
      <c r="B112" s="542"/>
      <c r="C112" s="566"/>
      <c r="D112" s="139" t="s">
        <v>66</v>
      </c>
      <c r="E112" s="295">
        <f>'ｼｰﾄNO.4（表-4）60頁'!W42</f>
        <v>2.1</v>
      </c>
      <c r="F112" s="544"/>
      <c r="G112" s="544"/>
      <c r="H112" s="218">
        <f>12.28697452/G111-0.05907844*G111+0.00051753*G111^2+2.69979197</f>
        <v>2.1718280043001132</v>
      </c>
      <c r="I112" s="621"/>
      <c r="J112" s="221">
        <f t="shared" ref="J112" si="198">C111*E112*F111*H112/1000000*I111</f>
        <v>0.20884993074311264</v>
      </c>
      <c r="K112" s="397">
        <f>9.45345681/G111-0.14325844*G111+0.00124097*G111^2+5.98054622</f>
        <v>3.7936292257149553</v>
      </c>
      <c r="L112" s="621"/>
      <c r="M112" s="221">
        <f>C111*E112*F111*K112/1000000*L111</f>
        <v>82.969391653776412</v>
      </c>
      <c r="N112" s="391">
        <f>0.6037810576/G111-0.0052863845*G111+0.0000423961*G111^2+0.3189943526</f>
        <v>0.24783159171834482</v>
      </c>
      <c r="O112" s="621"/>
      <c r="P112" s="300">
        <f>C111*E112*F111*N112/1000000*O111</f>
        <v>21.873662798094248</v>
      </c>
      <c r="Q112" s="392">
        <f>1.5469182952/G111-0.0051393982*G111+0.0000404677*G111^2+0.2460289003</f>
        <v>0.21891100770692318</v>
      </c>
      <c r="R112" s="659"/>
      <c r="S112" s="393">
        <f t="shared" ref="S112" si="199">C111*E112*F111*Q112/1000000*R111</f>
        <v>38.684355616894578</v>
      </c>
      <c r="T112" s="665"/>
      <c r="U112" s="665"/>
      <c r="V112" s="665"/>
      <c r="W112" s="666"/>
    </row>
    <row r="113" spans="1:23" ht="17.25">
      <c r="A113" s="571"/>
      <c r="B113" s="540" t="s">
        <v>265</v>
      </c>
      <c r="C113" s="553">
        <f>'ｼｰﾄNO.3（表-3）59頁'!$F$30</f>
        <v>9</v>
      </c>
      <c r="D113" s="138" t="s">
        <v>65</v>
      </c>
      <c r="E113" s="294">
        <f>'ｼｰﾄNO.4（表-4）60頁'!W43</f>
        <v>147.25</v>
      </c>
      <c r="F113" s="543">
        <f>'ｼｰﾄNO.4（表-4）60頁'!O43/1000</f>
        <v>0.91</v>
      </c>
      <c r="G113" s="543">
        <f>F113/('ｼｰﾄNO.4（表-4）60頁'!T43/3600)</f>
        <v>30.055045871559635</v>
      </c>
      <c r="H113" s="219">
        <f>-2.71095565/G113-0.09453616*G113+0.00089493*G113^2+3.15403637</f>
        <v>1.030943504144429</v>
      </c>
      <c r="I113" s="620">
        <v>6000</v>
      </c>
      <c r="J113" s="99">
        <f t="shared" ref="J113" si="200">C113*E113*F113*H113/1000000*I113</f>
        <v>7.4597680186160291</v>
      </c>
      <c r="K113" s="396">
        <f>-0.25063622/G113-0.00657231*G113+0.00005332*G113^2+0.29056757</f>
        <v>0.13286151647220723</v>
      </c>
      <c r="L113" s="620">
        <v>1364600</v>
      </c>
      <c r="M113" s="99">
        <f>C113*E113*F113*K113/1000000*L113</f>
        <v>218.6471280922656</v>
      </c>
      <c r="N113" s="390">
        <f>0.093055673/G113-0.0002682273*G113+0.00000218*G113^2+0.0173678037</f>
        <v>1.4371601212148963E-2</v>
      </c>
      <c r="O113" s="620">
        <v>5506900</v>
      </c>
      <c r="P113" s="99">
        <f>C113*E113*F113*N113/1000000*O113</f>
        <v>95.44464196566976</v>
      </c>
      <c r="Q113" s="390">
        <f>0.0505593958/G113-0.000357176*G113+0.0000031505*G113^2+0.0131649024</f>
        <v>6.9580527421799696E-3</v>
      </c>
      <c r="R113" s="658">
        <v>11025800</v>
      </c>
      <c r="S113" s="375">
        <f t="shared" ref="S113" si="201">C113*E113*F113*Q113/1000000*R113</f>
        <v>92.520299940018546</v>
      </c>
      <c r="T113" s="665"/>
      <c r="U113" s="665"/>
      <c r="V113" s="665"/>
      <c r="W113" s="666"/>
    </row>
    <row r="114" spans="1:23" ht="17.25">
      <c r="A114" s="571"/>
      <c r="B114" s="542"/>
      <c r="C114" s="566"/>
      <c r="D114" s="139" t="s">
        <v>66</v>
      </c>
      <c r="E114" s="298">
        <f>'ｼｰﾄNO.4（表-4）60頁'!W44</f>
        <v>7.75</v>
      </c>
      <c r="F114" s="544"/>
      <c r="G114" s="544"/>
      <c r="H114" s="218">
        <f>12.28697452/G113-0.05907844*G113+0.00051753*G113^2+2.69979197</f>
        <v>1.8004902841038075</v>
      </c>
      <c r="I114" s="621"/>
      <c r="J114" s="221">
        <f t="shared" ref="J114" si="202">C113*E114*F113*H114/1000000*I113</f>
        <v>0.68568971734667361</v>
      </c>
      <c r="K114" s="397">
        <f>9.45345681/G113-0.14325844*G113+0.00124097*G113^2+5.98054622</f>
        <v>3.11042070390894</v>
      </c>
      <c r="L114" s="621"/>
      <c r="M114" s="221">
        <f>C113*E114*F113*K114/1000000*L113</f>
        <v>269.40776267464264</v>
      </c>
      <c r="N114" s="391">
        <f>0.6037810576/G113-0.0052863845*G113+0.0000423961*G113^2+0.3189943526</f>
        <v>0.21849764061943486</v>
      </c>
      <c r="O114" s="621"/>
      <c r="P114" s="221">
        <f>C113*E114*F113*N114/1000000*O113</f>
        <v>76.372946499504039</v>
      </c>
      <c r="Q114" s="392">
        <f>1.5469182952/G113-0.0051393982*G113+0.0000404677*G113^2+0.2460289003</f>
        <v>0.17958826277182416</v>
      </c>
      <c r="R114" s="659"/>
      <c r="S114" s="221">
        <f t="shared" ref="S114" si="203">C113*E114*F113*Q114/1000000*R113</f>
        <v>125.68216812965736</v>
      </c>
      <c r="T114" s="665"/>
      <c r="U114" s="665"/>
      <c r="V114" s="665"/>
      <c r="W114" s="666"/>
    </row>
    <row r="115" spans="1:23" ht="17.25">
      <c r="A115" s="571"/>
      <c r="B115" s="540" t="s">
        <v>410</v>
      </c>
      <c r="C115" s="553">
        <f>'ｼｰﾄNO.3（表-3）59頁'!$F$30</f>
        <v>9</v>
      </c>
      <c r="D115" s="138" t="s">
        <v>65</v>
      </c>
      <c r="E115" s="292">
        <f>'ｼｰﾄNO.4（表-4）60頁'!W45</f>
        <v>54.15</v>
      </c>
      <c r="F115" s="543">
        <f>'ｼｰﾄNO.4（表-4）60頁'!O45/1000</f>
        <v>0.76100000000000001</v>
      </c>
      <c r="G115" s="543">
        <f>F115/('ｼｰﾄNO.4（表-4）60頁'!T45/3600)</f>
        <v>22.641322314049585</v>
      </c>
      <c r="H115" s="219">
        <f>-2.71095565/G115-0.09453616*G115+0.00089493*G115^2+3.15403637</f>
        <v>1.3526453340932798</v>
      </c>
      <c r="I115" s="620">
        <v>6000</v>
      </c>
      <c r="J115" s="99">
        <f t="shared" ref="J115" si="204">C115*E115*F115*H115/1000000*I115</f>
        <v>3.009960638502263</v>
      </c>
      <c r="K115" s="396">
        <f>-0.25063622/G115-0.00657231*G115+0.00005332*G115^2+0.29056757</f>
        <v>0.15802532673956798</v>
      </c>
      <c r="L115" s="620">
        <v>1364600</v>
      </c>
      <c r="M115" s="99">
        <f>C115*E115*F115*K115/1000000*L115</f>
        <v>79.975633903976131</v>
      </c>
      <c r="N115" s="390">
        <f>0.093055673/G115-0.0002682273*G115+0.00000218*G115^2+0.0173678037</f>
        <v>1.6522308062949704E-2</v>
      </c>
      <c r="O115" s="620">
        <v>5506900</v>
      </c>
      <c r="P115" s="394">
        <f>C115*E115*F115*N115/1000000*O115</f>
        <v>33.744541593523081</v>
      </c>
      <c r="Q115" s="390">
        <f>0.0505593958/G115-0.000357176*G115+0.0000031505*G115^2+0.0131649024</f>
        <v>8.9260630618954936E-3</v>
      </c>
      <c r="R115" s="658">
        <v>11025800</v>
      </c>
      <c r="S115" s="394">
        <f t="shared" ref="S115" si="205">C115*E115*F115*Q115/1000000*R115</f>
        <v>36.500237334720801</v>
      </c>
      <c r="T115" s="665"/>
      <c r="U115" s="665"/>
      <c r="V115" s="665"/>
      <c r="W115" s="666"/>
    </row>
    <row r="116" spans="1:23" ht="17.25">
      <c r="A116" s="571"/>
      <c r="B116" s="542"/>
      <c r="C116" s="566"/>
      <c r="D116" s="139" t="s">
        <v>66</v>
      </c>
      <c r="E116" s="295">
        <f>'ｼｰﾄNO.4（表-4）60頁'!W46</f>
        <v>2.85</v>
      </c>
      <c r="F116" s="544"/>
      <c r="G116" s="544"/>
      <c r="H116" s="218">
        <f>12.28697452/G115-0.05907844*G115+0.00051753*G115^2+2.69979197</f>
        <v>2.1701582938483104</v>
      </c>
      <c r="I116" s="621"/>
      <c r="J116" s="221">
        <f t="shared" ref="J116" si="206">C115*E116*F115*H116/1000000*I115</f>
        <v>0.2541643820430971</v>
      </c>
      <c r="K116" s="397">
        <f>9.45345681/G115-0.14325844*G115+0.00124097*G115^2+5.98054622</f>
        <v>3.7906746331889405</v>
      </c>
      <c r="L116" s="621"/>
      <c r="M116" s="221">
        <f>C115*E116*F115*K116/1000000*L115</f>
        <v>100.97035941474519</v>
      </c>
      <c r="N116" s="391">
        <f>0.6037810576/G115-0.0052863845*G115+0.0000423961*G115^2+0.3189943526</f>
        <v>0.24770432489329391</v>
      </c>
      <c r="O116" s="621"/>
      <c r="P116" s="221">
        <f>C115*E116*F115*N116/1000000*O115</f>
        <v>26.6264216916239</v>
      </c>
      <c r="Q116" s="392">
        <f>1.5469182952/G115-0.0051393982*G115+0.0000404677*G115^2+0.2460289003</f>
        <v>0.21873385436050466</v>
      </c>
      <c r="R116" s="659"/>
      <c r="S116" s="393">
        <f t="shared" ref="S116" si="207">C115*E116*F115*Q116/1000000*R115</f>
        <v>47.0758469765792</v>
      </c>
      <c r="T116" s="665"/>
      <c r="U116" s="665"/>
      <c r="V116" s="665"/>
      <c r="W116" s="666"/>
    </row>
    <row r="117" spans="1:23" ht="17.25">
      <c r="A117" s="571"/>
      <c r="B117" s="540" t="s">
        <v>411</v>
      </c>
      <c r="C117" s="553">
        <f>'ｼｰﾄNO.3（表-3）59頁'!$F$30</f>
        <v>9</v>
      </c>
      <c r="D117" s="138" t="s">
        <v>65</v>
      </c>
      <c r="E117" s="294">
        <f>'ｼｰﾄNO.4（表-4）60頁'!W47</f>
        <v>158.65</v>
      </c>
      <c r="F117" s="543">
        <f>'ｼｰﾄNO.4（表-4）60頁'!O47/1000</f>
        <v>0.84799999999999998</v>
      </c>
      <c r="G117" s="543">
        <f>F117/('ｼｰﾄNO.4（表-4）60頁'!T47/3600)</f>
        <v>27.752727272727274</v>
      </c>
      <c r="H117" s="219">
        <f>-2.71095565/G117-0.09453616*G117+0.00089493*G117^2+3.15403637</f>
        <v>1.1220051084994243</v>
      </c>
      <c r="I117" s="620">
        <v>6000</v>
      </c>
      <c r="J117" s="99">
        <f t="shared" ref="J117" si="208">C117*E117*F117*H117/1000000*I117</f>
        <v>8.1512558103415547</v>
      </c>
      <c r="K117" s="396">
        <f>-0.25063622/G117-0.00657231*G117+0.00005332*G117^2+0.29056757</f>
        <v>0.14020479834032479</v>
      </c>
      <c r="L117" s="620">
        <v>1364600</v>
      </c>
      <c r="M117" s="99">
        <f>C117*E117*F117*K117/1000000*L117</f>
        <v>231.6576690649122</v>
      </c>
      <c r="N117" s="390">
        <f>0.093055673/G117-0.0002682273*G117+0.00000218*G117^2+0.0173678037</f>
        <v>1.4955858884601478E-2</v>
      </c>
      <c r="O117" s="620">
        <v>5506900</v>
      </c>
      <c r="P117" s="99">
        <f>C117*E117*F117*N117/1000000*O117</f>
        <v>99.72337933332777</v>
      </c>
      <c r="Q117" s="390">
        <f>0.0505593958/G117-0.000357176*G117+0.0000031505*G117^2+0.0131649024</f>
        <v>7.5006342486333456E-3</v>
      </c>
      <c r="R117" s="658">
        <v>11025800</v>
      </c>
      <c r="S117" s="375">
        <f t="shared" ref="S117" si="209">C117*E117*F117*Q117/1000000*R117</f>
        <v>100.13514641204659</v>
      </c>
      <c r="T117" s="665"/>
      <c r="U117" s="665"/>
      <c r="V117" s="665"/>
      <c r="W117" s="666"/>
    </row>
    <row r="118" spans="1:23" ht="17.25">
      <c r="A118" s="571"/>
      <c r="B118" s="542"/>
      <c r="C118" s="566"/>
      <c r="D118" s="139" t="s">
        <v>66</v>
      </c>
      <c r="E118" s="298">
        <f>'ｼｰﾄNO.4（表-4）60頁'!W48</f>
        <v>8.35</v>
      </c>
      <c r="F118" s="544"/>
      <c r="G118" s="544"/>
      <c r="H118" s="218">
        <f>12.28697452/G117-0.05907844*G117+0.00051753*G117^2+2.69979197</f>
        <v>1.9015432666737011</v>
      </c>
      <c r="I118" s="621"/>
      <c r="J118" s="221">
        <f t="shared" ref="J118" si="210">C117*E118*F117*H118/1000000*I117</f>
        <v>0.72708016838380962</v>
      </c>
      <c r="K118" s="397">
        <f>9.45345681/G117-0.14325844*G117+0.00124097*G117^2+5.98054622</f>
        <v>3.3011777457107159</v>
      </c>
      <c r="L118" s="621"/>
      <c r="M118" s="221">
        <f>C117*E118*F117*K118/1000000*L117</f>
        <v>287.07747177998772</v>
      </c>
      <c r="N118" s="391">
        <f>0.6037810576/G117-0.0052863845*G117+0.0000423961*G117^2+0.3189943526</f>
        <v>0.22669256740568483</v>
      </c>
      <c r="O118" s="621"/>
      <c r="P118" s="221">
        <f>C117*E118*F117*N118/1000000*O117</f>
        <v>79.555334928478416</v>
      </c>
      <c r="Q118" s="392">
        <f>1.5469182952/G117-0.0051393982*G117+0.0000404677*G117^2+0.2460289003</f>
        <v>0.190304692944187</v>
      </c>
      <c r="R118" s="659"/>
      <c r="S118" s="221">
        <f t="shared" ref="S118" si="211">C117*E118*F117*Q118/1000000*R117</f>
        <v>133.71632920900811</v>
      </c>
      <c r="T118" s="665"/>
      <c r="U118" s="665"/>
      <c r="V118" s="665"/>
      <c r="W118" s="666"/>
    </row>
    <row r="119" spans="1:23" ht="17.25">
      <c r="A119" s="571"/>
      <c r="B119" s="540" t="s">
        <v>412</v>
      </c>
      <c r="C119" s="553">
        <f>'ｼｰﾄNO.3（表-3）59頁'!$F$30</f>
        <v>9</v>
      </c>
      <c r="D119" s="138" t="s">
        <v>65</v>
      </c>
      <c r="E119" s="292">
        <f>'ｼｰﾄNO.4（表-4）60頁'!W49</f>
        <v>738.15</v>
      </c>
      <c r="F119" s="543">
        <f>'ｼｰﾄNO.4（表-4）60頁'!O49/1000</f>
        <v>0.61699999999999999</v>
      </c>
      <c r="G119" s="543">
        <f>F119/('ｼｰﾄNO.4（表-4）60頁'!T49/3600)</f>
        <v>27.087804878048779</v>
      </c>
      <c r="H119" s="219">
        <f>-2.71095565/G119-0.09453616*G119+0.00089493*G119^2+3.15403637</f>
        <v>1.1498331610692509</v>
      </c>
      <c r="I119" s="620">
        <v>6000</v>
      </c>
      <c r="J119" s="99">
        <f t="shared" ref="J119" si="212">C119*E119*F119*H119/1000000*I119</f>
        <v>28.278630771441986</v>
      </c>
      <c r="K119" s="396">
        <f>-0.25063622/G119-0.00657231*G119+0.00005332*G119^2+0.29056757</f>
        <v>0.14240889225716619</v>
      </c>
      <c r="L119" s="620">
        <v>1364600</v>
      </c>
      <c r="M119" s="99">
        <f>C119*E119*F119*K119/1000000*L119</f>
        <v>796.55317449075415</v>
      </c>
      <c r="N119" s="390">
        <f>0.093055673/G119-0.0002682273*G119+0.00000218*G119^2+0.0173678037</f>
        <v>1.5137022719626959E-2</v>
      </c>
      <c r="O119" s="620">
        <v>5506900</v>
      </c>
      <c r="P119" s="99">
        <f>C119*E119*F119*N119/1000000*O119</f>
        <v>341.68030848427588</v>
      </c>
      <c r="Q119" s="390">
        <f>0.0505593958/G119-0.000357176*G119+0.0000031505*G119^2+0.0131649024</f>
        <v>7.6679656699207913E-3</v>
      </c>
      <c r="R119" s="658">
        <v>11025800</v>
      </c>
      <c r="S119" s="394">
        <f t="shared" ref="S119" si="213">C119*E119*F119*Q119/1000000*R119</f>
        <v>346.54733852967382</v>
      </c>
      <c r="T119" s="665"/>
      <c r="U119" s="665"/>
      <c r="V119" s="665"/>
      <c r="W119" s="666"/>
    </row>
    <row r="120" spans="1:23" ht="17.25">
      <c r="A120" s="571"/>
      <c r="B120" s="542"/>
      <c r="C120" s="566"/>
      <c r="D120" s="139" t="s">
        <v>66</v>
      </c>
      <c r="E120" s="295">
        <f>'ｼｰﾄNO.4（表-4）60頁'!W50</f>
        <v>38.85</v>
      </c>
      <c r="F120" s="544"/>
      <c r="G120" s="544"/>
      <c r="H120" s="218">
        <f>12.28697452/G119-0.05907844*G119+0.00051753*G119^2+2.69979197</f>
        <v>1.9328219392155921</v>
      </c>
      <c r="I120" s="621"/>
      <c r="J120" s="221">
        <f t="shared" ref="J120" si="214">C119*E120*F119*H120/1000000*I119</f>
        <v>2.5018530292550012</v>
      </c>
      <c r="K120" s="397">
        <f>9.45345681/G119-0.14325844*G119+0.00124097*G119^2+5.98054622</f>
        <v>3.3595433546140332</v>
      </c>
      <c r="L120" s="621"/>
      <c r="M120" s="221">
        <f>C119*E120*F119*K120/1000000*L119</f>
        <v>989.01826820899225</v>
      </c>
      <c r="N120" s="391">
        <f>0.6037810576/G119-0.0052863845*G119+0.0000423961*G119^2+0.3189943526</f>
        <v>0.22919567839342808</v>
      </c>
      <c r="O120" s="621"/>
      <c r="P120" s="221">
        <f>C119*E120*F119*N120/1000000*O119</f>
        <v>272.29038833511652</v>
      </c>
      <c r="Q120" s="392">
        <f>1.5469182952/G119-0.0051393982*G119+0.0000404677*G119^2+0.2460289003</f>
        <v>0.19361458064850001</v>
      </c>
      <c r="R120" s="659"/>
      <c r="S120" s="393">
        <f t="shared" ref="S120" si="215">C119*E120*F119*Q120/1000000*R119</f>
        <v>460.53948069253465</v>
      </c>
      <c r="T120" s="665"/>
      <c r="U120" s="665"/>
      <c r="V120" s="665"/>
      <c r="W120" s="666"/>
    </row>
    <row r="121" spans="1:23" ht="17.25">
      <c r="A121" s="571"/>
      <c r="B121" s="540" t="s">
        <v>413</v>
      </c>
      <c r="C121" s="553">
        <f>'ｼｰﾄNO.3（表-3）59頁'!$F$30</f>
        <v>9</v>
      </c>
      <c r="D121" s="138" t="s">
        <v>65</v>
      </c>
      <c r="E121" s="294">
        <f>'ｼｰﾄNO.4（表-4）60頁'!W51</f>
        <v>133</v>
      </c>
      <c r="F121" s="543">
        <f>'ｼｰﾄNO.4（表-4）60頁'!O51/1000</f>
        <v>0.82399999999999995</v>
      </c>
      <c r="G121" s="543">
        <f>F121/('ｼｰﾄNO.4（表-4）60頁'!T51/3600)</f>
        <v>28.523076923076921</v>
      </c>
      <c r="H121" s="219">
        <f>-2.71095565/G121-0.09453616*G121+0.00089493*G121^2+3.15403637</f>
        <v>1.090614460615126</v>
      </c>
      <c r="I121" s="620">
        <v>6000</v>
      </c>
      <c r="J121" s="99">
        <f t="shared" ref="J121" si="216">C121*E121*F121*H121/1000000*I121</f>
        <v>6.4542214782575762</v>
      </c>
      <c r="K121" s="396">
        <f>-0.25063622/G121-0.00657231*G121+0.00005332*G121^2+0.29056757</f>
        <v>0.1376972627690112</v>
      </c>
      <c r="L121" s="620">
        <v>1364600</v>
      </c>
      <c r="M121" s="99">
        <f>C121*E121*F121*K121/1000000*L121</f>
        <v>185.33269294035446</v>
      </c>
      <c r="N121" s="390">
        <f>0.093055673/G121-0.0002682273*G121+0.00000218*G121^2+0.0173678037</f>
        <v>1.4753179146136358E-2</v>
      </c>
      <c r="O121" s="620">
        <v>5506900</v>
      </c>
      <c r="P121" s="99">
        <f>C121*E121*F121*N121/1000000*O121</f>
        <v>80.133510413074973</v>
      </c>
      <c r="Q121" s="390">
        <f>0.0505593958/G121-0.000357176*G121+0.0000031505*G121^2+0.0131649024</f>
        <v>7.3128619003372843E-3</v>
      </c>
      <c r="R121" s="658">
        <v>11025800</v>
      </c>
      <c r="S121" s="375">
        <f t="shared" ref="S121" si="217">C121*E121*F121*Q121/1000000*R121</f>
        <v>79.527777292467448</v>
      </c>
      <c r="T121" s="665"/>
      <c r="U121" s="665"/>
      <c r="V121" s="665"/>
      <c r="W121" s="666"/>
    </row>
    <row r="122" spans="1:23" ht="17.25">
      <c r="A122" s="571"/>
      <c r="B122" s="542"/>
      <c r="C122" s="566"/>
      <c r="D122" s="139" t="s">
        <v>66</v>
      </c>
      <c r="E122" s="298">
        <f>'ｼｰﾄNO.4（表-4）60頁'!W52</f>
        <v>7</v>
      </c>
      <c r="F122" s="544"/>
      <c r="G122" s="544"/>
      <c r="H122" s="218">
        <f>12.28697452/G121-0.05907844*G121+0.00051753*G121^2+2.69979197</f>
        <v>1.8665109593380467</v>
      </c>
      <c r="I122" s="621"/>
      <c r="J122" s="221">
        <f t="shared" ref="J122" si="218">C121*E122*F121*H122/1000000*I121</f>
        <v>0.58136590152694001</v>
      </c>
      <c r="K122" s="397">
        <f>9.45345681/G121-0.14325844*G121+0.00124097*G121^2+5.98054622</f>
        <v>3.2354174852760047</v>
      </c>
      <c r="L122" s="621"/>
      <c r="M122" s="221">
        <f>C121*E122*F121*K122/1000000*L121</f>
        <v>229.19411195956124</v>
      </c>
      <c r="N122" s="391">
        <f>0.6037810576/G121-0.0052863845*G121+0.0000423961*G121^2+0.3189943526</f>
        <v>0.22387058289813042</v>
      </c>
      <c r="O122" s="621"/>
      <c r="P122" s="221">
        <f>C121*E122*F121*N122/1000000*O121</f>
        <v>63.998822177668508</v>
      </c>
      <c r="Q122" s="392">
        <f>1.5469182952/G121-0.0051393982*G121+0.0000404677*G121^2+0.2460289003</f>
        <v>0.18659451238229957</v>
      </c>
      <c r="R122" s="659"/>
      <c r="S122" s="221">
        <f t="shared" ref="S122" si="219">C121*E122*F121*Q122/1000000*R121</f>
        <v>106.80134914832047</v>
      </c>
      <c r="T122" s="665"/>
      <c r="U122" s="665"/>
      <c r="V122" s="665"/>
      <c r="W122" s="666"/>
    </row>
    <row r="123" spans="1:23" ht="17.25">
      <c r="A123" s="571"/>
      <c r="B123" s="540" t="s">
        <v>414</v>
      </c>
      <c r="C123" s="553">
        <f>'ｼｰﾄNO.3（表-3）59頁'!$F$30</f>
        <v>9</v>
      </c>
      <c r="D123" s="138" t="s">
        <v>65</v>
      </c>
      <c r="E123" s="292">
        <f>'ｼｰﾄNO.4（表-4）60頁'!W53</f>
        <v>47.5</v>
      </c>
      <c r="F123" s="543">
        <f>'ｼｰﾄNO.4（表-4）60頁'!O53/1000</f>
        <v>0.91</v>
      </c>
      <c r="G123" s="543">
        <f>F123/('ｼｰﾄNO.4（表-4）60頁'!T53/3600)</f>
        <v>22.90909090909091</v>
      </c>
      <c r="H123" s="219">
        <f>-2.71095565/G123-0.09453616*G123+0.00089493*G123^2+3.15403637</f>
        <v>1.3396464522592815</v>
      </c>
      <c r="I123" s="620">
        <v>6000</v>
      </c>
      <c r="J123" s="99">
        <f t="shared" ref="J123" si="220">C123*E123*F123*H123/1000000*I123</f>
        <v>3.1269357665410022</v>
      </c>
      <c r="K123" s="396">
        <f>-0.25063622/G123-0.00657231*G123+0.00005332*G123^2+0.29056757</f>
        <v>0.15704519892234028</v>
      </c>
      <c r="L123" s="620">
        <v>1364600</v>
      </c>
      <c r="M123" s="99">
        <f>C123*E123*F123*K123/1000000*L123</f>
        <v>83.369566313787772</v>
      </c>
      <c r="N123" s="390">
        <f>0.093055673/G123-0.0002682273*G123+0.00000218*G123^2+0.0173678037</f>
        <v>1.6429035733051291E-2</v>
      </c>
      <c r="O123" s="620">
        <v>5506900</v>
      </c>
      <c r="P123" s="99">
        <f>C123*E123*F123*N123/1000000*O123</f>
        <v>35.196280952096281</v>
      </c>
      <c r="Q123" s="390">
        <f>0.0505593958/G123-0.000357176*G123+0.0000031505*G123^2+0.0131649024</f>
        <v>8.8427484176374117E-3</v>
      </c>
      <c r="R123" s="658">
        <v>11025800</v>
      </c>
      <c r="S123" s="394">
        <f t="shared" ref="S123" si="221">C123*E123*F123*Q123/1000000*R123</f>
        <v>37.929305530127159</v>
      </c>
      <c r="T123" s="665"/>
      <c r="U123" s="665"/>
      <c r="V123" s="665"/>
      <c r="W123" s="666"/>
    </row>
    <row r="124" spans="1:23" ht="17.25">
      <c r="A124" s="571"/>
      <c r="B124" s="542"/>
      <c r="C124" s="566"/>
      <c r="D124" s="139" t="s">
        <v>66</v>
      </c>
      <c r="E124" s="295">
        <f>'ｼｰﾄNO.4（表-4）60頁'!W54</f>
        <v>2.5</v>
      </c>
      <c r="F124" s="544"/>
      <c r="G124" s="544"/>
      <c r="H124" s="218">
        <f>12.28697452/G123-0.05907844*G123+0.00051753*G123^2+2.69979197</f>
        <v>2.154308237381608</v>
      </c>
      <c r="I124" s="621"/>
      <c r="J124" s="221">
        <f t="shared" ref="J124" si="222">C123*E124*F123*H124/1000000*I123</f>
        <v>0.26465676696233059</v>
      </c>
      <c r="K124" s="397">
        <f>9.45345681/G123-0.14325844*G123+0.00124097*G123^2+5.98054622</f>
        <v>3.7625703620867768</v>
      </c>
      <c r="L124" s="621"/>
      <c r="M124" s="221">
        <f>C123*E124*F123*K124/1000000*L123</f>
        <v>105.12691199222152</v>
      </c>
      <c r="N124" s="391">
        <f>0.6037810576/G123-0.0052863845*G123+0.0000423961*G123^2+0.3189943526</f>
        <v>0.24649420636382</v>
      </c>
      <c r="O124" s="621"/>
      <c r="P124" s="221">
        <f>C123*E124*F123*N124/1000000*O123</f>
        <v>27.793152899385248</v>
      </c>
      <c r="Q124" s="392">
        <f>1.5469182952/G123-0.0051393982*G123+0.0000404677*G123^2+0.2460289003</f>
        <v>0.2170526901967598</v>
      </c>
      <c r="R124" s="659"/>
      <c r="S124" s="393">
        <f t="shared" ref="S124" si="223">C123*E124*F123*Q124/1000000*R123</f>
        <v>49.000351318425125</v>
      </c>
      <c r="T124" s="665"/>
      <c r="U124" s="665"/>
      <c r="V124" s="665"/>
      <c r="W124" s="666"/>
    </row>
    <row r="125" spans="1:23" ht="17.25">
      <c r="A125" s="571"/>
      <c r="B125" s="540" t="s">
        <v>415</v>
      </c>
      <c r="C125" s="553">
        <f>'ｼｰﾄNO.3（表-3）59頁'!$F$30</f>
        <v>9</v>
      </c>
      <c r="D125" s="138" t="s">
        <v>65</v>
      </c>
      <c r="E125" s="294">
        <f>'ｼｰﾄNO.4（表-4）60頁'!W55</f>
        <v>743.84999999999991</v>
      </c>
      <c r="F125" s="543">
        <f>'ｼｰﾄNO.4（表-4）60頁'!O55/1000</f>
        <v>0.61699999999999999</v>
      </c>
      <c r="G125" s="543">
        <f>F125/('ｼｰﾄNO.4（表-4）60頁'!T55/3600)</f>
        <v>27.087804878048779</v>
      </c>
      <c r="H125" s="219">
        <f>-2.71095565/G125-0.09453616*G125+0.00089493*G125^2+3.15403637</f>
        <v>1.1498331610692509</v>
      </c>
      <c r="I125" s="620">
        <v>6000</v>
      </c>
      <c r="J125" s="99">
        <f t="shared" ref="J125" si="224">C125*E125*F125*H125/1000000*I125</f>
        <v>28.496998576626869</v>
      </c>
      <c r="K125" s="396">
        <f>-0.25063622/G125-0.00657231*G125+0.00005332*G125^2+0.29056757</f>
        <v>0.14240889225716619</v>
      </c>
      <c r="L125" s="620">
        <v>1364600</v>
      </c>
      <c r="M125" s="99">
        <f>C125*E125*F125*K125/1000000*L125</f>
        <v>802.70416425516157</v>
      </c>
      <c r="N125" s="390">
        <f>0.0916/G125-0.00025*G125+0.00000198*G125^2+0.0167</f>
        <v>1.4762467677193681E-2</v>
      </c>
      <c r="O125" s="620">
        <v>5506900</v>
      </c>
      <c r="P125" s="99">
        <f>C125*E125*F125*N125/1000000*O125</f>
        <v>335.79883935814075</v>
      </c>
      <c r="Q125" s="390">
        <f>0.0505593958/G125-0.000357176*G125+0.0000031505*G125^2+0.0131649024</f>
        <v>7.6679656699207913E-3</v>
      </c>
      <c r="R125" s="658">
        <v>11025800</v>
      </c>
      <c r="S125" s="375">
        <f t="shared" ref="S125" si="225">C125*E125*F125*Q125/1000000*R125</f>
        <v>349.22337975384124</v>
      </c>
      <c r="T125" s="665"/>
      <c r="U125" s="665"/>
      <c r="V125" s="665"/>
      <c r="W125" s="666"/>
    </row>
    <row r="126" spans="1:23" ht="17.25">
      <c r="A126" s="572"/>
      <c r="B126" s="542"/>
      <c r="C126" s="566"/>
      <c r="D126" s="139" t="s">
        <v>66</v>
      </c>
      <c r="E126" s="395">
        <f>'ｼｰﾄNO.4（表-4）60頁'!W56</f>
        <v>39.150000000000006</v>
      </c>
      <c r="F126" s="544"/>
      <c r="G126" s="544"/>
      <c r="H126" s="218">
        <f>12.28697452/G125-0.05907844*G125+0.00051753*G125^2+2.69979197</f>
        <v>1.9328219392155921</v>
      </c>
      <c r="I126" s="621"/>
      <c r="J126" s="221">
        <f t="shared" ref="J126" si="226">C125*E126*F125*H126/1000000*I125</f>
        <v>2.5211723576662366</v>
      </c>
      <c r="K126" s="397">
        <f>9.45345681/G125-0.14325844*G125+0.00124097*G125^2+5.98054622</f>
        <v>3.3595433546140332</v>
      </c>
      <c r="L126" s="621"/>
      <c r="M126" s="221">
        <f>C125*E126*F125*K126/1000000*L125</f>
        <v>996.65547491330858</v>
      </c>
      <c r="N126" s="391">
        <f>0.114/G125-0.00198*G125+0.0000156*G125^2+0.12</f>
        <v>8.2021169368525007E-2</v>
      </c>
      <c r="O126" s="621"/>
      <c r="P126" s="221">
        <f>C125*E126*F125*N126/1000000*O125</f>
        <v>98.195726305149435</v>
      </c>
      <c r="Q126" s="391">
        <f>1.5469182952/G125-0.0051393982*G125+0.0000404677*G125^2+0.2460289003</f>
        <v>0.19361458064850001</v>
      </c>
      <c r="R126" s="659"/>
      <c r="S126" s="221">
        <f t="shared" ref="S126" si="227">C125*E126*F125*Q126/1000000*R125</f>
        <v>464.09577011873188</v>
      </c>
      <c r="T126" s="617"/>
      <c r="U126" s="617"/>
      <c r="V126" s="617"/>
      <c r="W126" s="667"/>
    </row>
    <row r="127" spans="1:23">
      <c r="E127" s="81"/>
      <c r="F127" s="81"/>
      <c r="G127" s="81"/>
      <c r="H127" s="96"/>
      <c r="I127" s="81"/>
      <c r="J127" s="81"/>
      <c r="K127" s="141"/>
      <c r="N127" s="141"/>
      <c r="Q127" s="141"/>
    </row>
  </sheetData>
  <mergeCells count="509">
    <mergeCell ref="R121:R122"/>
    <mergeCell ref="R123:R124"/>
    <mergeCell ref="R125:R126"/>
    <mergeCell ref="R109:R110"/>
    <mergeCell ref="R111:R112"/>
    <mergeCell ref="R113:R114"/>
    <mergeCell ref="R115:R116"/>
    <mergeCell ref="R117:R118"/>
    <mergeCell ref="R119:R120"/>
    <mergeCell ref="O109:O110"/>
    <mergeCell ref="O97:O98"/>
    <mergeCell ref="O93:O94"/>
    <mergeCell ref="O89:O90"/>
    <mergeCell ref="O85:O86"/>
    <mergeCell ref="O25:O26"/>
    <mergeCell ref="R79:R80"/>
    <mergeCell ref="R81:R82"/>
    <mergeCell ref="R83:R84"/>
    <mergeCell ref="R97:R98"/>
    <mergeCell ref="R99:R100"/>
    <mergeCell ref="R101:R102"/>
    <mergeCell ref="R103:R104"/>
    <mergeCell ref="R105:R106"/>
    <mergeCell ref="R107:R108"/>
    <mergeCell ref="R85:R86"/>
    <mergeCell ref="R87:R88"/>
    <mergeCell ref="R89:R90"/>
    <mergeCell ref="R91:R92"/>
    <mergeCell ref="R93:R94"/>
    <mergeCell ref="R95:R96"/>
    <mergeCell ref="O49:O50"/>
    <mergeCell ref="O45:O46"/>
    <mergeCell ref="O41:O42"/>
    <mergeCell ref="B125:B126"/>
    <mergeCell ref="C125:C126"/>
    <mergeCell ref="F125:F126"/>
    <mergeCell ref="G125:G126"/>
    <mergeCell ref="I125:I126"/>
    <mergeCell ref="L125:L126"/>
    <mergeCell ref="O121:O122"/>
    <mergeCell ref="B123:B124"/>
    <mergeCell ref="C123:C124"/>
    <mergeCell ref="F123:F124"/>
    <mergeCell ref="G123:G124"/>
    <mergeCell ref="I123:I124"/>
    <mergeCell ref="L123:L124"/>
    <mergeCell ref="O123:O124"/>
    <mergeCell ref="B121:B122"/>
    <mergeCell ref="C121:C122"/>
    <mergeCell ref="F121:F122"/>
    <mergeCell ref="G121:G122"/>
    <mergeCell ref="I121:I122"/>
    <mergeCell ref="L121:L122"/>
    <mergeCell ref="O125:O126"/>
    <mergeCell ref="B119:B120"/>
    <mergeCell ref="C119:C120"/>
    <mergeCell ref="F119:F120"/>
    <mergeCell ref="G119:G120"/>
    <mergeCell ref="I119:I120"/>
    <mergeCell ref="L119:L120"/>
    <mergeCell ref="O119:O120"/>
    <mergeCell ref="B117:B118"/>
    <mergeCell ref="C117:C118"/>
    <mergeCell ref="F117:F118"/>
    <mergeCell ref="G117:G118"/>
    <mergeCell ref="I117:I118"/>
    <mergeCell ref="L117:L118"/>
    <mergeCell ref="O117:O118"/>
    <mergeCell ref="G115:G116"/>
    <mergeCell ref="I115:I116"/>
    <mergeCell ref="L115:L116"/>
    <mergeCell ref="O115:O116"/>
    <mergeCell ref="B113:B114"/>
    <mergeCell ref="C113:C114"/>
    <mergeCell ref="F113:F114"/>
    <mergeCell ref="G113:G114"/>
    <mergeCell ref="I113:I114"/>
    <mergeCell ref="L113:L114"/>
    <mergeCell ref="O113:O114"/>
    <mergeCell ref="F107:F108"/>
    <mergeCell ref="G107:G108"/>
    <mergeCell ref="I107:I108"/>
    <mergeCell ref="L107:L108"/>
    <mergeCell ref="O107:O108"/>
    <mergeCell ref="T103:T126"/>
    <mergeCell ref="U103:U126"/>
    <mergeCell ref="V103:V126"/>
    <mergeCell ref="B111:B112"/>
    <mergeCell ref="C111:C112"/>
    <mergeCell ref="F111:F112"/>
    <mergeCell ref="G111:G112"/>
    <mergeCell ref="I111:I112"/>
    <mergeCell ref="L111:L112"/>
    <mergeCell ref="O111:O112"/>
    <mergeCell ref="B109:B110"/>
    <mergeCell ref="C109:C110"/>
    <mergeCell ref="F109:F110"/>
    <mergeCell ref="G109:G110"/>
    <mergeCell ref="I109:I110"/>
    <mergeCell ref="L109:L110"/>
    <mergeCell ref="B115:B116"/>
    <mergeCell ref="C115:C116"/>
    <mergeCell ref="F115:F116"/>
    <mergeCell ref="B105:B106"/>
    <mergeCell ref="C105:C106"/>
    <mergeCell ref="F105:F106"/>
    <mergeCell ref="G105:G106"/>
    <mergeCell ref="I105:I106"/>
    <mergeCell ref="L105:L106"/>
    <mergeCell ref="O105:O106"/>
    <mergeCell ref="O101:O102"/>
    <mergeCell ref="A103:A126"/>
    <mergeCell ref="B103:B104"/>
    <mergeCell ref="C103:C104"/>
    <mergeCell ref="F103:F104"/>
    <mergeCell ref="G103:G104"/>
    <mergeCell ref="I103:I104"/>
    <mergeCell ref="L103:L104"/>
    <mergeCell ref="O103:O104"/>
    <mergeCell ref="B107:B108"/>
    <mergeCell ref="B101:B102"/>
    <mergeCell ref="C101:C102"/>
    <mergeCell ref="F101:F102"/>
    <mergeCell ref="G101:G102"/>
    <mergeCell ref="I101:I102"/>
    <mergeCell ref="L101:L102"/>
    <mergeCell ref="C107:C108"/>
    <mergeCell ref="B99:B100"/>
    <mergeCell ref="C99:C100"/>
    <mergeCell ref="F99:F100"/>
    <mergeCell ref="G99:G100"/>
    <mergeCell ref="I99:I100"/>
    <mergeCell ref="L99:L100"/>
    <mergeCell ref="O99:O100"/>
    <mergeCell ref="B97:B98"/>
    <mergeCell ref="C97:C98"/>
    <mergeCell ref="F97:F98"/>
    <mergeCell ref="G97:G98"/>
    <mergeCell ref="I97:I98"/>
    <mergeCell ref="L97:L98"/>
    <mergeCell ref="B95:B96"/>
    <mergeCell ref="C95:C96"/>
    <mergeCell ref="F95:F96"/>
    <mergeCell ref="G95:G96"/>
    <mergeCell ref="I95:I96"/>
    <mergeCell ref="L95:L96"/>
    <mergeCell ref="O95:O96"/>
    <mergeCell ref="B93:B94"/>
    <mergeCell ref="C93:C94"/>
    <mergeCell ref="F93:F94"/>
    <mergeCell ref="G93:G94"/>
    <mergeCell ref="I93:I94"/>
    <mergeCell ref="L93:L94"/>
    <mergeCell ref="G91:G92"/>
    <mergeCell ref="I91:I92"/>
    <mergeCell ref="L91:L92"/>
    <mergeCell ref="O91:O92"/>
    <mergeCell ref="B89:B90"/>
    <mergeCell ref="C89:C90"/>
    <mergeCell ref="F89:F90"/>
    <mergeCell ref="G89:G90"/>
    <mergeCell ref="I89:I90"/>
    <mergeCell ref="L89:L90"/>
    <mergeCell ref="F83:F84"/>
    <mergeCell ref="G83:G84"/>
    <mergeCell ref="I83:I84"/>
    <mergeCell ref="L83:L84"/>
    <mergeCell ref="O83:O84"/>
    <mergeCell ref="T79:T102"/>
    <mergeCell ref="U79:U102"/>
    <mergeCell ref="V79:V102"/>
    <mergeCell ref="B87:B88"/>
    <mergeCell ref="C87:C88"/>
    <mergeCell ref="F87:F88"/>
    <mergeCell ref="G87:G88"/>
    <mergeCell ref="I87:I88"/>
    <mergeCell ref="L87:L88"/>
    <mergeCell ref="O87:O88"/>
    <mergeCell ref="B85:B86"/>
    <mergeCell ref="C85:C86"/>
    <mergeCell ref="F85:F86"/>
    <mergeCell ref="G85:G86"/>
    <mergeCell ref="I85:I86"/>
    <mergeCell ref="L85:L86"/>
    <mergeCell ref="B91:B92"/>
    <mergeCell ref="C91:C92"/>
    <mergeCell ref="F91:F92"/>
    <mergeCell ref="B81:B82"/>
    <mergeCell ref="C81:C82"/>
    <mergeCell ref="F81:F82"/>
    <mergeCell ref="G81:G82"/>
    <mergeCell ref="I81:I82"/>
    <mergeCell ref="L81:L82"/>
    <mergeCell ref="O81:O82"/>
    <mergeCell ref="O29:O30"/>
    <mergeCell ref="A79:A102"/>
    <mergeCell ref="B79:B80"/>
    <mergeCell ref="C79:C80"/>
    <mergeCell ref="F79:F80"/>
    <mergeCell ref="G79:G80"/>
    <mergeCell ref="I79:I80"/>
    <mergeCell ref="L79:L80"/>
    <mergeCell ref="O79:O80"/>
    <mergeCell ref="B83:B84"/>
    <mergeCell ref="B29:B30"/>
    <mergeCell ref="C29:C30"/>
    <mergeCell ref="F29:F30"/>
    <mergeCell ref="G29:G30"/>
    <mergeCell ref="I29:I30"/>
    <mergeCell ref="L29:L30"/>
    <mergeCell ref="C83:C84"/>
    <mergeCell ref="B27:B28"/>
    <mergeCell ref="C27:C28"/>
    <mergeCell ref="F27:F28"/>
    <mergeCell ref="G27:G28"/>
    <mergeCell ref="I27:I28"/>
    <mergeCell ref="L27:L28"/>
    <mergeCell ref="O27:O28"/>
    <mergeCell ref="B25:B26"/>
    <mergeCell ref="C25:C26"/>
    <mergeCell ref="F25:F26"/>
    <mergeCell ref="G25:G26"/>
    <mergeCell ref="I25:I26"/>
    <mergeCell ref="L25:L26"/>
    <mergeCell ref="B23:B24"/>
    <mergeCell ref="C23:C24"/>
    <mergeCell ref="F23:F24"/>
    <mergeCell ref="G23:G24"/>
    <mergeCell ref="I23:I24"/>
    <mergeCell ref="L23:L24"/>
    <mergeCell ref="O23:O24"/>
    <mergeCell ref="B21:B22"/>
    <mergeCell ref="C21:C22"/>
    <mergeCell ref="F21:F22"/>
    <mergeCell ref="G21:G22"/>
    <mergeCell ref="I21:I22"/>
    <mergeCell ref="L21:L22"/>
    <mergeCell ref="B19:B20"/>
    <mergeCell ref="C19:C20"/>
    <mergeCell ref="F19:F20"/>
    <mergeCell ref="G19:G20"/>
    <mergeCell ref="I19:I20"/>
    <mergeCell ref="L19:L20"/>
    <mergeCell ref="O19:O20"/>
    <mergeCell ref="B17:B18"/>
    <mergeCell ref="C17:C18"/>
    <mergeCell ref="F17:F18"/>
    <mergeCell ref="G17:G18"/>
    <mergeCell ref="I17:I18"/>
    <mergeCell ref="L17:L18"/>
    <mergeCell ref="B15:B16"/>
    <mergeCell ref="C15:C16"/>
    <mergeCell ref="F15:F16"/>
    <mergeCell ref="G15:G16"/>
    <mergeCell ref="I15:I16"/>
    <mergeCell ref="L15:L16"/>
    <mergeCell ref="O15:O16"/>
    <mergeCell ref="B13:B14"/>
    <mergeCell ref="C13:C14"/>
    <mergeCell ref="F13:F14"/>
    <mergeCell ref="G13:G14"/>
    <mergeCell ref="I13:I14"/>
    <mergeCell ref="L13:L14"/>
    <mergeCell ref="C11:C12"/>
    <mergeCell ref="F11:F12"/>
    <mergeCell ref="G11:G12"/>
    <mergeCell ref="I11:I12"/>
    <mergeCell ref="L11:L12"/>
    <mergeCell ref="O11:O12"/>
    <mergeCell ref="T7:T30"/>
    <mergeCell ref="U7:U30"/>
    <mergeCell ref="V7:V30"/>
    <mergeCell ref="O13:O14"/>
    <mergeCell ref="O17:O18"/>
    <mergeCell ref="O21:O22"/>
    <mergeCell ref="R29:R30"/>
    <mergeCell ref="R27:R28"/>
    <mergeCell ref="R25:R26"/>
    <mergeCell ref="R23:R24"/>
    <mergeCell ref="R21:R22"/>
    <mergeCell ref="R19:R20"/>
    <mergeCell ref="R17:R18"/>
    <mergeCell ref="R15:R16"/>
    <mergeCell ref="R13:R14"/>
    <mergeCell ref="B9:B10"/>
    <mergeCell ref="C9:C10"/>
    <mergeCell ref="F9:F10"/>
    <mergeCell ref="G9:G10"/>
    <mergeCell ref="I9:I10"/>
    <mergeCell ref="L9:L10"/>
    <mergeCell ref="O9:O10"/>
    <mergeCell ref="O53:O54"/>
    <mergeCell ref="A7:A30"/>
    <mergeCell ref="B7:B8"/>
    <mergeCell ref="C7:C8"/>
    <mergeCell ref="F7:F8"/>
    <mergeCell ref="G7:G8"/>
    <mergeCell ref="I7:I8"/>
    <mergeCell ref="L7:L8"/>
    <mergeCell ref="O7:O8"/>
    <mergeCell ref="B11:B12"/>
    <mergeCell ref="B53:B54"/>
    <mergeCell ref="C53:C54"/>
    <mergeCell ref="F53:F54"/>
    <mergeCell ref="G53:G54"/>
    <mergeCell ref="I53:I54"/>
    <mergeCell ref="L53:L54"/>
    <mergeCell ref="A31:A54"/>
    <mergeCell ref="B51:B52"/>
    <mergeCell ref="C51:C52"/>
    <mergeCell ref="F51:F52"/>
    <mergeCell ref="G51:G52"/>
    <mergeCell ref="I51:I52"/>
    <mergeCell ref="L51:L52"/>
    <mergeCell ref="O51:O52"/>
    <mergeCell ref="B49:B50"/>
    <mergeCell ref="C49:C50"/>
    <mergeCell ref="F49:F50"/>
    <mergeCell ref="G49:G50"/>
    <mergeCell ref="I49:I50"/>
    <mergeCell ref="L49:L50"/>
    <mergeCell ref="B47:B48"/>
    <mergeCell ref="C47:C48"/>
    <mergeCell ref="F47:F48"/>
    <mergeCell ref="G47:G48"/>
    <mergeCell ref="I47:I48"/>
    <mergeCell ref="L47:L48"/>
    <mergeCell ref="O47:O48"/>
    <mergeCell ref="B45:B46"/>
    <mergeCell ref="C45:C46"/>
    <mergeCell ref="F45:F46"/>
    <mergeCell ref="G45:G46"/>
    <mergeCell ref="I45:I46"/>
    <mergeCell ref="L45:L46"/>
    <mergeCell ref="B43:B44"/>
    <mergeCell ref="C43:C44"/>
    <mergeCell ref="F43:F44"/>
    <mergeCell ref="G43:G44"/>
    <mergeCell ref="I43:I44"/>
    <mergeCell ref="L43:L44"/>
    <mergeCell ref="O43:O44"/>
    <mergeCell ref="B41:B42"/>
    <mergeCell ref="C41:C42"/>
    <mergeCell ref="F41:F42"/>
    <mergeCell ref="G41:G42"/>
    <mergeCell ref="I41:I42"/>
    <mergeCell ref="L41:L42"/>
    <mergeCell ref="L37:L38"/>
    <mergeCell ref="O37:O38"/>
    <mergeCell ref="B39:B40"/>
    <mergeCell ref="C39:C40"/>
    <mergeCell ref="F39:F40"/>
    <mergeCell ref="G39:G40"/>
    <mergeCell ref="I39:I40"/>
    <mergeCell ref="L39:L40"/>
    <mergeCell ref="O39:O40"/>
    <mergeCell ref="L33:L34"/>
    <mergeCell ref="O33:O34"/>
    <mergeCell ref="B35:B36"/>
    <mergeCell ref="C35:C36"/>
    <mergeCell ref="F35:F36"/>
    <mergeCell ref="G35:G36"/>
    <mergeCell ref="I35:I36"/>
    <mergeCell ref="L35:L36"/>
    <mergeCell ref="O35:O36"/>
    <mergeCell ref="I33:I34"/>
    <mergeCell ref="B31:B32"/>
    <mergeCell ref="C31:C32"/>
    <mergeCell ref="F31:F32"/>
    <mergeCell ref="G31:G32"/>
    <mergeCell ref="I31:I32"/>
    <mergeCell ref="B37:B38"/>
    <mergeCell ref="C37:C38"/>
    <mergeCell ref="F37:F38"/>
    <mergeCell ref="G37:G38"/>
    <mergeCell ref="I37:I38"/>
    <mergeCell ref="B77:B78"/>
    <mergeCell ref="C77:C78"/>
    <mergeCell ref="F77:F78"/>
    <mergeCell ref="G77:G78"/>
    <mergeCell ref="I77:I78"/>
    <mergeCell ref="L77:L78"/>
    <mergeCell ref="O77:O78"/>
    <mergeCell ref="B75:B76"/>
    <mergeCell ref="C75:C76"/>
    <mergeCell ref="F75:F76"/>
    <mergeCell ref="G75:G76"/>
    <mergeCell ref="I75:I76"/>
    <mergeCell ref="L75:L76"/>
    <mergeCell ref="B73:B74"/>
    <mergeCell ref="C73:C74"/>
    <mergeCell ref="F73:F74"/>
    <mergeCell ref="G73:G74"/>
    <mergeCell ref="I73:I74"/>
    <mergeCell ref="L73:L74"/>
    <mergeCell ref="O73:O74"/>
    <mergeCell ref="B71:B72"/>
    <mergeCell ref="C71:C72"/>
    <mergeCell ref="F71:F72"/>
    <mergeCell ref="G71:G72"/>
    <mergeCell ref="I71:I72"/>
    <mergeCell ref="L71:L72"/>
    <mergeCell ref="C69:C70"/>
    <mergeCell ref="F69:F70"/>
    <mergeCell ref="G69:G70"/>
    <mergeCell ref="I69:I70"/>
    <mergeCell ref="L69:L70"/>
    <mergeCell ref="O69:O70"/>
    <mergeCell ref="B67:B68"/>
    <mergeCell ref="C67:C68"/>
    <mergeCell ref="F67:F68"/>
    <mergeCell ref="G67:G68"/>
    <mergeCell ref="I67:I68"/>
    <mergeCell ref="L67:L68"/>
    <mergeCell ref="V55:V78"/>
    <mergeCell ref="L61:L62"/>
    <mergeCell ref="O61:O62"/>
    <mergeCell ref="O63:O64"/>
    <mergeCell ref="O65:O66"/>
    <mergeCell ref="F59:F60"/>
    <mergeCell ref="G59:G60"/>
    <mergeCell ref="I59:I60"/>
    <mergeCell ref="L59:L60"/>
    <mergeCell ref="O59:O60"/>
    <mergeCell ref="L65:L66"/>
    <mergeCell ref="L63:L64"/>
    <mergeCell ref="O67:O68"/>
    <mergeCell ref="O71:O72"/>
    <mergeCell ref="O75:O76"/>
    <mergeCell ref="R55:R56"/>
    <mergeCell ref="R57:R58"/>
    <mergeCell ref="R59:R60"/>
    <mergeCell ref="R61:R62"/>
    <mergeCell ref="R63:R64"/>
    <mergeCell ref="R65:R66"/>
    <mergeCell ref="R67:R68"/>
    <mergeCell ref="F61:F62"/>
    <mergeCell ref="A55:A78"/>
    <mergeCell ref="B55:B56"/>
    <mergeCell ref="C55:C56"/>
    <mergeCell ref="F55:F56"/>
    <mergeCell ref="G55:G56"/>
    <mergeCell ref="R53:R54"/>
    <mergeCell ref="R51:R52"/>
    <mergeCell ref="R11:R12"/>
    <mergeCell ref="R9:R10"/>
    <mergeCell ref="R69:R70"/>
    <mergeCell ref="R71:R72"/>
    <mergeCell ref="R73:R74"/>
    <mergeCell ref="R75:R76"/>
    <mergeCell ref="I57:I58"/>
    <mergeCell ref="L57:L58"/>
    <mergeCell ref="O57:O58"/>
    <mergeCell ref="B59:B60"/>
    <mergeCell ref="C59:C60"/>
    <mergeCell ref="I55:I56"/>
    <mergeCell ref="L55:L56"/>
    <mergeCell ref="O55:O56"/>
    <mergeCell ref="B61:B62"/>
    <mergeCell ref="C61:C62"/>
    <mergeCell ref="G61:G62"/>
    <mergeCell ref="W3:W6"/>
    <mergeCell ref="A3:A5"/>
    <mergeCell ref="B3:B5"/>
    <mergeCell ref="R39:R40"/>
    <mergeCell ref="R41:R42"/>
    <mergeCell ref="R43:R44"/>
    <mergeCell ref="R45:R46"/>
    <mergeCell ref="R47:R48"/>
    <mergeCell ref="R49:R50"/>
    <mergeCell ref="D6:E6"/>
    <mergeCell ref="D3:E3"/>
    <mergeCell ref="D4:E4"/>
    <mergeCell ref="D5:E5"/>
    <mergeCell ref="A6:B6"/>
    <mergeCell ref="R7:R8"/>
    <mergeCell ref="L31:L32"/>
    <mergeCell ref="O31:O32"/>
    <mergeCell ref="T31:T54"/>
    <mergeCell ref="U31:U54"/>
    <mergeCell ref="V31:V54"/>
    <mergeCell ref="B33:B34"/>
    <mergeCell ref="C33:C34"/>
    <mergeCell ref="F33:F34"/>
    <mergeCell ref="G33:G34"/>
    <mergeCell ref="W7:W126"/>
    <mergeCell ref="B57:B58"/>
    <mergeCell ref="C57:C58"/>
    <mergeCell ref="F57:F58"/>
    <mergeCell ref="G57:G58"/>
    <mergeCell ref="R77:R78"/>
    <mergeCell ref="R31:R32"/>
    <mergeCell ref="R33:R34"/>
    <mergeCell ref="R35:R36"/>
    <mergeCell ref="R37:R38"/>
    <mergeCell ref="T55:T78"/>
    <mergeCell ref="I61:I62"/>
    <mergeCell ref="B65:B66"/>
    <mergeCell ref="C65:C66"/>
    <mergeCell ref="F65:F66"/>
    <mergeCell ref="G65:G66"/>
    <mergeCell ref="I65:I66"/>
    <mergeCell ref="B63:B64"/>
    <mergeCell ref="C63:C64"/>
    <mergeCell ref="F63:F64"/>
    <mergeCell ref="G63:G64"/>
    <mergeCell ref="I63:I64"/>
    <mergeCell ref="B69:B70"/>
    <mergeCell ref="U55:U78"/>
  </mergeCells>
  <phoneticPr fontId="3"/>
  <pageMargins left="0.70866141732283472" right="0.31496062992125984" top="0.58906250000000004" bottom="0.35433070866141736" header="0.19685039370078741" footer="0.31496062992125984"/>
  <pageSetup paperSize="8" scale="50" orientation="portrait" r:id="rId1"/>
  <ignoredErrors>
    <ignoredError sqref="H127:S127 O79:P124 L79:M124 O31:P54 L125:P126 L31:M54 S79:S126 I79:J126 S31:S54 I31:J54 H7:S30 H55:S78 H31:H54 K31:K54 H79:H126 K79:K124 N31:N54 K125:K126 Q125:R126 Q31:R54 N79:N124 Q79:R124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zoomScale="70" zoomScaleNormal="70" workbookViewId="0">
      <selection activeCell="X1" sqref="X1"/>
    </sheetView>
  </sheetViews>
  <sheetFormatPr defaultColWidth="8.875" defaultRowHeight="13.5"/>
  <cols>
    <col min="1" max="1" width="13.375" style="140" customWidth="1"/>
    <col min="2" max="2" width="8.875" style="140"/>
    <col min="3" max="3" width="9" style="140" customWidth="1"/>
    <col min="4" max="5" width="6.125" style="140" customWidth="1"/>
    <col min="6" max="6" width="8.375" style="140" customWidth="1"/>
    <col min="7" max="7" width="8.75" style="140" customWidth="1"/>
    <col min="8" max="8" width="9.75" style="140" customWidth="1"/>
    <col min="9" max="9" width="13.5" style="140" customWidth="1"/>
    <col min="10" max="10" width="16.75" style="140" customWidth="1"/>
    <col min="11" max="11" width="9.75" style="140" customWidth="1"/>
    <col min="12" max="12" width="13.5" style="140" customWidth="1"/>
    <col min="13" max="13" width="16.75" style="140" customWidth="1"/>
    <col min="14" max="14" width="9.75" style="140" customWidth="1"/>
    <col min="15" max="15" width="13.5" style="140" customWidth="1"/>
    <col min="16" max="16" width="16.75" style="140" customWidth="1"/>
    <col min="17" max="17" width="9.75" style="140" customWidth="1"/>
    <col min="18" max="18" width="13.5" style="140" customWidth="1"/>
    <col min="19" max="19" width="16.75" style="140" customWidth="1"/>
    <col min="20" max="20" width="9.75" style="140" customWidth="1"/>
    <col min="21" max="21" width="8.25" style="140" customWidth="1"/>
    <col min="22" max="22" width="10.625" style="140" customWidth="1"/>
    <col min="23" max="23" width="12.5" style="140" customWidth="1"/>
    <col min="24" max="16384" width="8.875" style="140"/>
  </cols>
  <sheetData>
    <row r="1" spans="1:23" ht="15.6" customHeight="1">
      <c r="A1" s="400" t="s">
        <v>696</v>
      </c>
      <c r="W1" s="389"/>
    </row>
    <row r="2" spans="1:23" ht="15.6" customHeight="1"/>
    <row r="3" spans="1:23" ht="43.5">
      <c r="A3" s="660" t="s">
        <v>560</v>
      </c>
      <c r="B3" s="660" t="s">
        <v>578</v>
      </c>
      <c r="C3" s="233" t="s">
        <v>121</v>
      </c>
      <c r="D3" s="547" t="s">
        <v>13</v>
      </c>
      <c r="E3" s="547"/>
      <c r="F3" s="249" t="s">
        <v>579</v>
      </c>
      <c r="G3" s="249" t="s">
        <v>76</v>
      </c>
      <c r="H3" s="135" t="s">
        <v>983</v>
      </c>
      <c r="I3" s="235" t="s">
        <v>986</v>
      </c>
      <c r="J3" s="235" t="s">
        <v>987</v>
      </c>
      <c r="K3" s="135" t="s">
        <v>371</v>
      </c>
      <c r="L3" s="235" t="s">
        <v>372</v>
      </c>
      <c r="M3" s="235" t="s">
        <v>373</v>
      </c>
      <c r="N3" s="135" t="s">
        <v>967</v>
      </c>
      <c r="O3" s="235" t="s">
        <v>968</v>
      </c>
      <c r="P3" s="235" t="s">
        <v>978</v>
      </c>
      <c r="Q3" s="135" t="s">
        <v>374</v>
      </c>
      <c r="R3" s="235" t="s">
        <v>375</v>
      </c>
      <c r="S3" s="235" t="s">
        <v>376</v>
      </c>
      <c r="T3" s="235" t="s">
        <v>107</v>
      </c>
      <c r="U3" s="235" t="s">
        <v>455</v>
      </c>
      <c r="V3" s="235" t="s">
        <v>107</v>
      </c>
      <c r="W3" s="540" t="s">
        <v>697</v>
      </c>
    </row>
    <row r="4" spans="1:23" ht="21" customHeight="1">
      <c r="A4" s="660"/>
      <c r="B4" s="660"/>
      <c r="C4" s="231" t="s">
        <v>564</v>
      </c>
      <c r="D4" s="664" t="s">
        <v>61</v>
      </c>
      <c r="E4" s="664"/>
      <c r="F4" s="250" t="s">
        <v>74</v>
      </c>
      <c r="G4" s="250" t="s">
        <v>77</v>
      </c>
      <c r="H4" s="103" t="s">
        <v>73</v>
      </c>
      <c r="I4" s="88" t="s">
        <v>72</v>
      </c>
      <c r="J4" s="88" t="s">
        <v>71</v>
      </c>
      <c r="K4" s="103" t="s">
        <v>81</v>
      </c>
      <c r="L4" s="88" t="s">
        <v>82</v>
      </c>
      <c r="M4" s="88" t="s">
        <v>83</v>
      </c>
      <c r="N4" s="103" t="s">
        <v>81</v>
      </c>
      <c r="O4" s="88" t="s">
        <v>82</v>
      </c>
      <c r="P4" s="88" t="s">
        <v>83</v>
      </c>
      <c r="Q4" s="103" t="s">
        <v>344</v>
      </c>
      <c r="R4" s="88" t="s">
        <v>345</v>
      </c>
      <c r="S4" s="88" t="s">
        <v>346</v>
      </c>
      <c r="T4" s="88" t="s">
        <v>83</v>
      </c>
      <c r="U4" s="88" t="s">
        <v>108</v>
      </c>
      <c r="V4" s="88" t="s">
        <v>111</v>
      </c>
      <c r="W4" s="541"/>
    </row>
    <row r="5" spans="1:23" ht="46.5" customHeight="1">
      <c r="A5" s="660"/>
      <c r="B5" s="660"/>
      <c r="C5" s="234" t="s">
        <v>348</v>
      </c>
      <c r="D5" s="549" t="s">
        <v>60</v>
      </c>
      <c r="E5" s="549"/>
      <c r="F5" s="251" t="s">
        <v>350</v>
      </c>
      <c r="G5" s="251" t="s">
        <v>446</v>
      </c>
      <c r="H5" s="136" t="s">
        <v>75</v>
      </c>
      <c r="I5" s="245" t="s">
        <v>447</v>
      </c>
      <c r="J5" s="237" t="s">
        <v>979</v>
      </c>
      <c r="K5" s="136" t="s">
        <v>351</v>
      </c>
      <c r="L5" s="245" t="s">
        <v>352</v>
      </c>
      <c r="M5" s="237" t="s">
        <v>970</v>
      </c>
      <c r="N5" s="136" t="s">
        <v>448</v>
      </c>
      <c r="O5" s="245" t="s">
        <v>449</v>
      </c>
      <c r="P5" s="237" t="s">
        <v>971</v>
      </c>
      <c r="Q5" s="137" t="s">
        <v>450</v>
      </c>
      <c r="R5" s="237" t="s">
        <v>452</v>
      </c>
      <c r="S5" s="237" t="s">
        <v>972</v>
      </c>
      <c r="T5" s="245" t="s">
        <v>453</v>
      </c>
      <c r="U5" s="245" t="s">
        <v>454</v>
      </c>
      <c r="V5" s="237" t="s">
        <v>728</v>
      </c>
      <c r="W5" s="541"/>
    </row>
    <row r="6" spans="1:23" ht="40.5" customHeight="1">
      <c r="A6" s="550" t="s">
        <v>311</v>
      </c>
      <c r="B6" s="552"/>
      <c r="C6" s="248" t="s">
        <v>753</v>
      </c>
      <c r="D6" s="579" t="s">
        <v>514</v>
      </c>
      <c r="E6" s="580"/>
      <c r="F6" s="248" t="s">
        <v>753</v>
      </c>
      <c r="G6" s="248" t="s">
        <v>515</v>
      </c>
      <c r="H6" s="29" t="s">
        <v>445</v>
      </c>
      <c r="I6" s="236" t="s">
        <v>516</v>
      </c>
      <c r="J6" s="236" t="s">
        <v>517</v>
      </c>
      <c r="K6" s="29" t="s">
        <v>445</v>
      </c>
      <c r="L6" s="236" t="s">
        <v>516</v>
      </c>
      <c r="M6" s="236" t="s">
        <v>517</v>
      </c>
      <c r="N6" s="29" t="s">
        <v>445</v>
      </c>
      <c r="O6" s="236" t="s">
        <v>516</v>
      </c>
      <c r="P6" s="236" t="s">
        <v>517</v>
      </c>
      <c r="Q6" s="29" t="s">
        <v>479</v>
      </c>
      <c r="R6" s="236" t="s">
        <v>516</v>
      </c>
      <c r="S6" s="236" t="s">
        <v>517</v>
      </c>
      <c r="T6" s="244" t="s">
        <v>558</v>
      </c>
      <c r="U6" s="248" t="s">
        <v>753</v>
      </c>
      <c r="V6" s="244" t="s">
        <v>558</v>
      </c>
      <c r="W6" s="542"/>
    </row>
    <row r="7" spans="1:23" ht="13.5" customHeight="1">
      <c r="A7" s="570" t="s">
        <v>973</v>
      </c>
      <c r="B7" s="540" t="s">
        <v>224</v>
      </c>
      <c r="C7" s="553">
        <f>'ｼｰﾄNO.3（表-3）59頁'!$F$30</f>
        <v>9</v>
      </c>
      <c r="D7" s="138" t="s">
        <v>65</v>
      </c>
      <c r="E7" s="292">
        <f>'ｼｰﾄNO.4（表-4）60頁'!G6</f>
        <v>775.19999999999993</v>
      </c>
      <c r="F7" s="543">
        <f>'ｼｰﾄNO.4（表-4）60頁'!C6/1000</f>
        <v>1.054</v>
      </c>
      <c r="G7" s="543">
        <f>F7/('ｼｰﾄNO.4（表-4）60頁'!D6/3600)</f>
        <v>29.413953488372094</v>
      </c>
      <c r="H7" s="219">
        <f>-2.71095565/G7-0.09453616*G7+0.00089493*G7^2+3.15403637</f>
        <v>1.0554646514177595</v>
      </c>
      <c r="I7" s="620">
        <v>6000</v>
      </c>
      <c r="J7" s="99">
        <f>C7*E7*F7*H7/1000000*I7</f>
        <v>46.568454792792245</v>
      </c>
      <c r="K7" s="390">
        <f>-0.25063622/G7-0.00657231*G7+0.00005332*G7^2+0.29056757</f>
        <v>0.13486038477096629</v>
      </c>
      <c r="L7" s="620">
        <v>1364600</v>
      </c>
      <c r="M7" s="99">
        <f>C7*E7*F7*K7/1000000*L7</f>
        <v>1353.2768287020958</v>
      </c>
      <c r="N7" s="390">
        <f>0.093055673/G7-0.0002682273*G7+0.00000218*G7^2+0.0173678037</f>
        <v>1.4527929658914706E-2</v>
      </c>
      <c r="O7" s="620">
        <v>5506900</v>
      </c>
      <c r="P7" s="99">
        <f>C7*E7*F7*N7/1000000*O7</f>
        <v>588.31213009170972</v>
      </c>
      <c r="Q7" s="390">
        <f>0.0505593958/G7-0.000357176*G7+0.0000031505*G7^2+0.0131649024</f>
        <v>7.1035873572779535E-3</v>
      </c>
      <c r="R7" s="658">
        <v>11025800</v>
      </c>
      <c r="S7" s="375">
        <f t="shared" ref="S7" si="0">C7*E7*F7*Q7/1000000*R7</f>
        <v>575.94991750669715</v>
      </c>
      <c r="T7" s="616">
        <f>SUM(J7:J30)+SUM(M7:M30)+SUM(P7:P30)+SUM(S7:S30)</f>
        <v>22016.998137799314</v>
      </c>
      <c r="U7" s="616">
        <f>'ｼｰﾄNO.3（表-3）59頁'!F37</f>
        <v>16</v>
      </c>
      <c r="V7" s="616">
        <f>T7*U7</f>
        <v>352271.97020478902</v>
      </c>
      <c r="W7" s="661">
        <f>SUM(V7:V126)</f>
        <v>1736516.1855722424</v>
      </c>
    </row>
    <row r="8" spans="1:23" ht="17.25">
      <c r="A8" s="571"/>
      <c r="B8" s="542"/>
      <c r="C8" s="566"/>
      <c r="D8" s="139" t="s">
        <v>66</v>
      </c>
      <c r="E8" s="295">
        <f>'ｼｰﾄNO.4（表-4）60頁'!G7</f>
        <v>40.800000000000004</v>
      </c>
      <c r="F8" s="544"/>
      <c r="G8" s="544"/>
      <c r="H8" s="218">
        <f>12.28697452/G7-0.05907844*G7+0.00051753*G7^2+2.69979197</f>
        <v>1.8275444776395025</v>
      </c>
      <c r="I8" s="621"/>
      <c r="J8" s="221">
        <f>C7*E8*F7*H8/1000000*I7</f>
        <v>4.2438740767646612</v>
      </c>
      <c r="K8" s="391">
        <f>9.45345681/G7-0.14325844*G7+0.00124097*G7^2+5.98054622</f>
        <v>3.1618059863109744</v>
      </c>
      <c r="L8" s="621"/>
      <c r="M8" s="221">
        <f>C7*E8*F7*K8/1000000*L7</f>
        <v>1669.8746342249519</v>
      </c>
      <c r="N8" s="391">
        <f>0.6037810576/G7-0.0052863845*G7+0.0000423961*G7^2+0.3189943526</f>
        <v>0.22070819893257029</v>
      </c>
      <c r="O8" s="621"/>
      <c r="P8" s="221">
        <f>C7*E8*F7*N8/1000000*O7</f>
        <v>470.40176256942982</v>
      </c>
      <c r="Q8" s="392">
        <f>1.5469182952/G7-0.0051393982*G7+0.0000404677*G7^2+0.2460289003</f>
        <v>0.18246206033923956</v>
      </c>
      <c r="R8" s="659"/>
      <c r="S8" s="300">
        <f t="shared" ref="S8" si="1">C7*E8*F7*Q8/1000000*R7</f>
        <v>778.6207411091309</v>
      </c>
      <c r="T8" s="665"/>
      <c r="U8" s="665"/>
      <c r="V8" s="665"/>
      <c r="W8" s="666"/>
    </row>
    <row r="9" spans="1:23" ht="17.25">
      <c r="A9" s="571"/>
      <c r="B9" s="540" t="s">
        <v>257</v>
      </c>
      <c r="C9" s="553">
        <f>'ｼｰﾄNO.3（表-3）59頁'!$F$30</f>
        <v>9</v>
      </c>
      <c r="D9" s="138" t="s">
        <v>65</v>
      </c>
      <c r="E9" s="294">
        <f>'ｼｰﾄNO.4（表-4）60頁'!G8</f>
        <v>149.15</v>
      </c>
      <c r="F9" s="543">
        <f>'ｼｰﾄNO.4（表-4）60頁'!C8/1000</f>
        <v>0.76100000000000001</v>
      </c>
      <c r="G9" s="543">
        <f>F9/('ｼｰﾄNO.4（表-4）60頁'!D8/3600)</f>
        <v>28.243298969072164</v>
      </c>
      <c r="H9" s="219">
        <f>-2.71095565/G9-0.09453616*G9+0.00089493*G9^2+3.15403637</f>
        <v>1.1019088250288087</v>
      </c>
      <c r="I9" s="620">
        <v>6000</v>
      </c>
      <c r="J9" s="99">
        <f t="shared" ref="J9" si="2">C9*E9*F9*H9/1000000*I9</f>
        <v>6.753786623292708</v>
      </c>
      <c r="K9" s="390">
        <f>-0.25063622/G9-0.00657231*G9+0.00005332*G9^2+0.29056757</f>
        <v>0.13860217767355143</v>
      </c>
      <c r="L9" s="620">
        <v>1364600</v>
      </c>
      <c r="M9" s="99">
        <f>C9*E9*F9*K9/1000000*L9</f>
        <v>193.20832910454723</v>
      </c>
      <c r="N9" s="390">
        <f>0.093055673/G9-0.0002682273*G9+0.00000218*G9^2+0.0173678037</f>
        <v>1.4825918519141416E-2</v>
      </c>
      <c r="O9" s="620">
        <v>5506900</v>
      </c>
      <c r="P9" s="99">
        <f>C9*E9*F9*N9/1000000*O9</f>
        <v>83.402529614477814</v>
      </c>
      <c r="Q9" s="390">
        <f>0.0505593958/G9-0.000357176*G9+0.0000031505*G9^2+0.0131649024</f>
        <v>7.3803148444943597E-3</v>
      </c>
      <c r="R9" s="658">
        <v>11025800</v>
      </c>
      <c r="S9" s="99">
        <f t="shared" ref="S9" si="3">C9*E9*F9*Q9/1000000*R9</f>
        <v>83.12572068316102</v>
      </c>
      <c r="T9" s="665"/>
      <c r="U9" s="665"/>
      <c r="V9" s="665"/>
      <c r="W9" s="666"/>
    </row>
    <row r="10" spans="1:23" ht="17.25">
      <c r="A10" s="571"/>
      <c r="B10" s="542"/>
      <c r="C10" s="566"/>
      <c r="D10" s="139" t="s">
        <v>66</v>
      </c>
      <c r="E10" s="298">
        <f>'ｼｰﾄNO.4（表-4）60頁'!G9</f>
        <v>7.8500000000000005</v>
      </c>
      <c r="F10" s="544"/>
      <c r="G10" s="544"/>
      <c r="H10" s="218">
        <f>12.28697452/G9-0.05907844*G9+0.00051753*G9^2+2.69979197</f>
        <v>1.8790876389278492</v>
      </c>
      <c r="I10" s="621"/>
      <c r="J10" s="221">
        <f t="shared" ref="J10" si="4">C9*E10*F9*H10/1000000*I9</f>
        <v>0.60617093535769317</v>
      </c>
      <c r="K10" s="391">
        <f>9.45345681/G9-0.14325844*G9+0.00124097*G9^2+5.98054622</f>
        <v>3.2590721393592696</v>
      </c>
      <c r="L10" s="621"/>
      <c r="M10" s="221">
        <f>C9*E10*F9*K10/1000000*L9</f>
        <v>239.10913235579525</v>
      </c>
      <c r="N10" s="391">
        <f>0.6037810576/G9-0.0052863845*G9+0.0000423961*G9^2+0.3189943526</f>
        <v>0.22488595437341638</v>
      </c>
      <c r="O10" s="621"/>
      <c r="P10" s="221">
        <f>C9*E10*F9*N10/1000000*O9</f>
        <v>66.583457758339804</v>
      </c>
      <c r="Q10" s="392">
        <f>1.5469182952/G9-0.0051393982*G9+0.0000404677*G9^2+0.2460289003</f>
        <v>0.18792693637471344</v>
      </c>
      <c r="R10" s="659"/>
      <c r="S10" s="100">
        <f t="shared" ref="S10" si="5">C9*E10*F9*Q10/1000000*R9</f>
        <v>111.4027642671079</v>
      </c>
      <c r="T10" s="665"/>
      <c r="U10" s="665"/>
      <c r="V10" s="665"/>
      <c r="W10" s="666"/>
    </row>
    <row r="11" spans="1:23" ht="17.25">
      <c r="A11" s="571"/>
      <c r="B11" s="540" t="s">
        <v>355</v>
      </c>
      <c r="C11" s="553">
        <f>'ｼｰﾄNO.3（表-3）59頁'!$F$30</f>
        <v>9</v>
      </c>
      <c r="D11" s="138" t="s">
        <v>65</v>
      </c>
      <c r="E11" s="292">
        <f>'ｼｰﾄNO.4（表-4）60頁'!G10</f>
        <v>38</v>
      </c>
      <c r="F11" s="543">
        <f>'ｼｰﾄNO.4（表-4）60頁'!C10/1000</f>
        <v>0.82399999999999995</v>
      </c>
      <c r="G11" s="543">
        <f>F11/('ｼｰﾄNO.4（表-4）60頁'!D10/3600)</f>
        <v>23.92258064516129</v>
      </c>
      <c r="H11" s="219">
        <f>-2.71095565/G11-0.09453616*G11+0.00089493*G11^2+3.15403637</f>
        <v>1.2913247867681457</v>
      </c>
      <c r="I11" s="620">
        <v>6000</v>
      </c>
      <c r="J11" s="99">
        <f t="shared" ref="J11" si="6">C11*E11*F11*H11/1000000*I11</f>
        <v>2.1834339330573456</v>
      </c>
      <c r="K11" s="390">
        <f>-0.25063622/G11-0.00657231*G11+0.00005332*G11^2+0.29056757</f>
        <v>0.15337847706821867</v>
      </c>
      <c r="L11" s="620">
        <v>1364600</v>
      </c>
      <c r="M11" s="99">
        <f>C11*E11*F11*K11/1000000*L11</f>
        <v>58.982490433853116</v>
      </c>
      <c r="N11" s="390">
        <f>0.093055673/G11-0.0002682273*G11+0.00000218*G11^2+0.0173678037</f>
        <v>1.608857405816946E-2</v>
      </c>
      <c r="O11" s="620">
        <v>5506900</v>
      </c>
      <c r="P11" s="99">
        <f>C11*E11*F11*N11/1000000*O11</f>
        <v>24.967672663274882</v>
      </c>
      <c r="Q11" s="390">
        <f>0.0505593958/G11-0.000357176*G11+0.0000031505*G11^2+0.0131649024</f>
        <v>8.5367890559696659E-3</v>
      </c>
      <c r="R11" s="658">
        <v>11025800</v>
      </c>
      <c r="S11" s="393">
        <f t="shared" ref="S11" si="7">C11*E11*F11*Q11/1000000*R11</f>
        <v>26.525157927749042</v>
      </c>
      <c r="T11" s="665"/>
      <c r="U11" s="665"/>
      <c r="V11" s="665"/>
      <c r="W11" s="666"/>
    </row>
    <row r="12" spans="1:23" ht="17.25">
      <c r="A12" s="571"/>
      <c r="B12" s="542"/>
      <c r="C12" s="566"/>
      <c r="D12" s="139" t="s">
        <v>66</v>
      </c>
      <c r="E12" s="295">
        <f>'ｼｰﾄNO.4（表-4）60頁'!G11</f>
        <v>2</v>
      </c>
      <c r="F12" s="544"/>
      <c r="G12" s="544"/>
      <c r="H12" s="218">
        <f>12.28697452/G11-0.05907844*G11+0.00051753*G11^2+2.69979197</f>
        <v>2.0962744897164898</v>
      </c>
      <c r="I12" s="621"/>
      <c r="J12" s="221">
        <f t="shared" ref="J12" si="8">C11*E12*F11*H12/1000000*I11</f>
        <v>0.18655165938884982</v>
      </c>
      <c r="K12" s="391">
        <f>9.45345681/G11-0.14325844*G11+0.00124097*G11^2+5.98054622</f>
        <v>3.6587979611501487</v>
      </c>
      <c r="L12" s="621"/>
      <c r="M12" s="221">
        <f>C11*E12*F11*K12/1000000*L11</f>
        <v>74.053145789554421</v>
      </c>
      <c r="N12" s="391">
        <f>0.6037810576/G11-0.0052863845*G11+0.0000423961*G11^2+0.3189943526</f>
        <v>0.24203221147813736</v>
      </c>
      <c r="O12" s="621"/>
      <c r="P12" s="221">
        <f>C11*E12*F11*N12/1000000*O11</f>
        <v>19.768789453688971</v>
      </c>
      <c r="Q12" s="392">
        <f>1.5469182952/G11-0.0051393982*G11+0.0000404677*G11^2+0.2460289003</f>
        <v>0.21090400792139963</v>
      </c>
      <c r="R12" s="659"/>
      <c r="S12" s="300">
        <f t="shared" ref="S12" si="9">C11*E12*F11*Q12/1000000*R11</f>
        <v>34.490116409125839</v>
      </c>
      <c r="T12" s="665"/>
      <c r="U12" s="665"/>
      <c r="V12" s="665"/>
      <c r="W12" s="666"/>
    </row>
    <row r="13" spans="1:23" ht="17.25">
      <c r="A13" s="571"/>
      <c r="B13" s="540" t="s">
        <v>356</v>
      </c>
      <c r="C13" s="553">
        <f>'ｼｰﾄNO.3（表-3）59頁'!$F$30</f>
        <v>9</v>
      </c>
      <c r="D13" s="138" t="s">
        <v>65</v>
      </c>
      <c r="E13" s="294">
        <f>'ｼｰﾄNO.4（表-4）60頁'!G12</f>
        <v>755.25</v>
      </c>
      <c r="F13" s="543">
        <f>'ｼｰﾄNO.4（表-4）60頁'!C12/1000</f>
        <v>1.054</v>
      </c>
      <c r="G13" s="543">
        <f>F13/('ｼｰﾄNO.4（表-4）60頁'!D12/3600)</f>
        <v>28.964885496183207</v>
      </c>
      <c r="H13" s="219">
        <f>-2.71095565/G13-0.09453616*G13+0.00089493*G13^2+3.15403637</f>
        <v>1.0730273446881111</v>
      </c>
      <c r="I13" s="620">
        <v>6000</v>
      </c>
      <c r="J13" s="99">
        <f t="shared" ref="J13" si="10">C13*E13*F13*H13/1000000*I13</f>
        <v>46.124948490540312</v>
      </c>
      <c r="K13" s="390">
        <f>-0.25063622/G13-0.00657231*G13+0.00005332*G13^2+0.29056757</f>
        <v>0.1362818495942732</v>
      </c>
      <c r="L13" s="620">
        <v>1364600</v>
      </c>
      <c r="M13" s="99">
        <f>C13*E13*F13*K13/1000000*L13</f>
        <v>1332.346668474162</v>
      </c>
      <c r="N13" s="390">
        <f>0.093055673/G13-0.0002682273*G13+0.00000218*G13^2+0.0173678037</f>
        <v>1.4640279878383174E-2</v>
      </c>
      <c r="O13" s="620">
        <v>5506900</v>
      </c>
      <c r="P13" s="99">
        <f>C13*E13*F13*N13/1000000*O13</f>
        <v>577.60430792790476</v>
      </c>
      <c r="Q13" s="390">
        <f>0.0505593958/G13-0.000357176*G13+0.0000031505*G13^2+0.0131649024</f>
        <v>7.2080394254288071E-3</v>
      </c>
      <c r="R13" s="658">
        <v>11025800</v>
      </c>
      <c r="S13" s="99">
        <f t="shared" ref="S13" si="11">C13*E13*F13*Q13/1000000*R13</f>
        <v>569.37857099007181</v>
      </c>
      <c r="T13" s="665"/>
      <c r="U13" s="665"/>
      <c r="V13" s="665"/>
      <c r="W13" s="666"/>
    </row>
    <row r="14" spans="1:23" ht="17.25">
      <c r="A14" s="571"/>
      <c r="B14" s="542"/>
      <c r="C14" s="566"/>
      <c r="D14" s="139" t="s">
        <v>66</v>
      </c>
      <c r="E14" s="298">
        <f>'ｼｰﾄNO.4（表-4）60頁'!G13</f>
        <v>39.75</v>
      </c>
      <c r="F14" s="544"/>
      <c r="G14" s="544"/>
      <c r="H14" s="218">
        <f>12.28697452/G13-0.05907844*G13+0.00051753*G13^2+2.69979197</f>
        <v>1.8469834852183058</v>
      </c>
      <c r="I14" s="621"/>
      <c r="J14" s="221">
        <f t="shared" ref="J14" si="12">C13*E14*F13*H14/1000000*I13</f>
        <v>4.1786357537762324</v>
      </c>
      <c r="K14" s="391">
        <f>9.45345681/G13-0.14325844*G13+0.00124097*G13^2+5.98054622</f>
        <v>3.1985882591353736</v>
      </c>
      <c r="L14" s="621"/>
      <c r="M14" s="221">
        <f>C13*E14*F13*K14/1000000*L13</f>
        <v>1645.8261523402632</v>
      </c>
      <c r="N14" s="391">
        <f>0.6037810576/G13-0.0052863845*G13+0.0000423961*G13^2+0.3189943526</f>
        <v>0.22228893446679474</v>
      </c>
      <c r="O14" s="621"/>
      <c r="P14" s="221">
        <f>C13*E14*F13*N14/1000000*O13</f>
        <v>461.57819824305261</v>
      </c>
      <c r="Q14" s="392">
        <f>1.5469182952/G13-0.0051393982*G13+0.0000404677*G13^2+0.2460289003</f>
        <v>0.18452446471498832</v>
      </c>
      <c r="R14" s="659"/>
      <c r="S14" s="100">
        <f t="shared" ref="S14" si="13">C13*E14*F13*Q14/1000000*R13</f>
        <v>767.15711612580265</v>
      </c>
      <c r="T14" s="665"/>
      <c r="U14" s="665"/>
      <c r="V14" s="665"/>
      <c r="W14" s="666"/>
    </row>
    <row r="15" spans="1:23" ht="17.25">
      <c r="A15" s="571"/>
      <c r="B15" s="540" t="s">
        <v>358</v>
      </c>
      <c r="C15" s="553">
        <f>'ｼｰﾄNO.3（表-3）59頁'!$F$30</f>
        <v>9</v>
      </c>
      <c r="D15" s="138" t="s">
        <v>65</v>
      </c>
      <c r="E15" s="292">
        <f>'ｼｰﾄNO.4（表-4）60頁'!G14</f>
        <v>38</v>
      </c>
      <c r="F15" s="543">
        <f>'ｼｰﾄNO.4（表-4）60頁'!C14/1000</f>
        <v>0.84799999999999998</v>
      </c>
      <c r="G15" s="543">
        <f>F15/('ｼｰﾄNO.4（表-4）60頁'!D14/3600)</f>
        <v>23.849999999999998</v>
      </c>
      <c r="H15" s="219">
        <f>-2.71095565/G15-0.09453616*G15+0.00089493*G15^2+3.15403637</f>
        <v>1.2947383703610593</v>
      </c>
      <c r="I15" s="620">
        <v>6000</v>
      </c>
      <c r="J15" s="99">
        <f t="shared" ref="J15" si="14">C15*E15*F15*H15/1000000*I15</f>
        <v>2.2529690593117979</v>
      </c>
      <c r="K15" s="390">
        <f>-0.25063622/G15-0.00657231*G15+0.00005332*G15^2+0.29056757</f>
        <v>0.15363873601551364</v>
      </c>
      <c r="L15" s="620">
        <v>1364600</v>
      </c>
      <c r="M15" s="99">
        <f>C15*E15*F15*K15/1000000*L15</f>
        <v>60.803426045069955</v>
      </c>
      <c r="N15" s="390">
        <f>0.093055673/G15-0.0002682273*G15+0.00000218*G15^2+0.0173678037</f>
        <v>1.6112321011876311E-2</v>
      </c>
      <c r="O15" s="620">
        <v>5506900</v>
      </c>
      <c r="P15" s="99">
        <f>C15*E15*F15*N15/1000000*O15</f>
        <v>25.732812431336768</v>
      </c>
      <c r="Q15" s="390">
        <f>0.0505593958/G15-0.000357176*G15+0.0000031505*G15^2+0.0131649024</f>
        <v>8.558220895474318E-3</v>
      </c>
      <c r="R15" s="658">
        <v>11025800</v>
      </c>
      <c r="S15" s="393">
        <f t="shared" ref="S15" si="15">C15*E15*F15*Q15/1000000*R15</f>
        <v>27.366267045014204</v>
      </c>
      <c r="T15" s="665"/>
      <c r="U15" s="665"/>
      <c r="V15" s="665"/>
      <c r="W15" s="666"/>
    </row>
    <row r="16" spans="1:23" ht="17.25">
      <c r="A16" s="571"/>
      <c r="B16" s="542"/>
      <c r="C16" s="566"/>
      <c r="D16" s="139" t="s">
        <v>66</v>
      </c>
      <c r="E16" s="295">
        <f>'ｼｰﾄNO.4（表-4）60頁'!G15</f>
        <v>2</v>
      </c>
      <c r="F16" s="544"/>
      <c r="G16" s="544"/>
      <c r="H16" s="218">
        <f>12.28697452/G15-0.05907844*G15+0.00051753*G15^2+2.69979197</f>
        <v>2.1003310131461741</v>
      </c>
      <c r="I16" s="621"/>
      <c r="J16" s="221">
        <f t="shared" ref="J16" si="16">C15*E16*F15*H16/1000000*I15</f>
        <v>0.1923567155079792</v>
      </c>
      <c r="K16" s="391">
        <f>9.45345681/G15-0.14325844*G15+0.00124097*G15^2+5.98054622</f>
        <v>3.6660954385419817</v>
      </c>
      <c r="L16" s="621"/>
      <c r="M16" s="221">
        <f>C15*E16*F15*K16/1000000*L15</f>
        <v>76.362034544070497</v>
      </c>
      <c r="N16" s="391">
        <f>0.6037810576/G15-0.0052863845*G15+0.0000423961*G15^2+0.3189943526</f>
        <v>0.24234570548150577</v>
      </c>
      <c r="O16" s="621"/>
      <c r="P16" s="221">
        <f>C15*E16*F15*N16/1000000*O15</f>
        <v>20.370930904037813</v>
      </c>
      <c r="Q16" s="392">
        <f>1.5469182952/G15-0.0051393982*G15+0.0000404677*G15^2+0.2460289003</f>
        <v>0.21133349739165672</v>
      </c>
      <c r="R16" s="659"/>
      <c r="S16" s="300">
        <f t="shared" ref="S16" si="17">C15*E16*F15*Q16/1000000*R15</f>
        <v>35.566965044256733</v>
      </c>
      <c r="T16" s="665"/>
      <c r="U16" s="665"/>
      <c r="V16" s="665"/>
      <c r="W16" s="666"/>
    </row>
    <row r="17" spans="1:23" ht="17.25">
      <c r="A17" s="571"/>
      <c r="B17" s="540" t="s">
        <v>359</v>
      </c>
      <c r="C17" s="553">
        <f>'ｼｰﾄNO.3（表-3）59頁'!$F$30</f>
        <v>9</v>
      </c>
      <c r="D17" s="138" t="s">
        <v>65</v>
      </c>
      <c r="E17" s="294">
        <f>'ｼｰﾄNO.4（表-4）60頁'!G16</f>
        <v>145.35</v>
      </c>
      <c r="F17" s="543">
        <f>'ｼｰﾄNO.4（表-4）60頁'!C16/1000</f>
        <v>0.91</v>
      </c>
      <c r="G17" s="543">
        <f>F17/('ｼｰﾄNO.4（表-4）60頁'!D16/3600)</f>
        <v>28.991150442477878</v>
      </c>
      <c r="H17" s="219">
        <f>-2.71095565/G17-0.09453616*G17+0.00089493*G17^2+3.15403637</f>
        <v>1.0719914241860904</v>
      </c>
      <c r="I17" s="620">
        <v>6000</v>
      </c>
      <c r="J17" s="99">
        <f t="shared" ref="J17" si="18">C17*E17*F17*H17/1000000*I17</f>
        <v>7.6566976752577247</v>
      </c>
      <c r="K17" s="390">
        <f>-0.25063622/G17-0.00657231*G17+0.00005332*G17^2+0.29056757</f>
        <v>0.13619823198274428</v>
      </c>
      <c r="L17" s="620">
        <v>1364600</v>
      </c>
      <c r="M17" s="99">
        <f>C17*E17*F17*K17/1000000*L17</f>
        <v>221.24617683146383</v>
      </c>
      <c r="N17" s="390">
        <f>0.093055673/G17-0.0002682273*G17+0.00000218*G17^2+0.0173678037</f>
        <v>1.4633642728096287E-2</v>
      </c>
      <c r="O17" s="620">
        <v>5506900</v>
      </c>
      <c r="P17" s="99">
        <f>C17*E17*F17*N17/1000000*O17</f>
        <v>95.930912567804128</v>
      </c>
      <c r="Q17" s="390">
        <f>0.0505593958/G17-0.000357176*G17+0.0000031505*G17^2+0.0131649024</f>
        <v>7.2018725486293969E-3</v>
      </c>
      <c r="R17" s="658">
        <v>11025800</v>
      </c>
      <c r="S17" s="99">
        <f t="shared" ref="S17" si="19">C17*E17*F17*Q17/1000000*R17</f>
        <v>94.526696320790208</v>
      </c>
      <c r="T17" s="665"/>
      <c r="U17" s="665"/>
      <c r="V17" s="665"/>
      <c r="W17" s="666"/>
    </row>
    <row r="18" spans="1:23" ht="17.25">
      <c r="A18" s="571"/>
      <c r="B18" s="542"/>
      <c r="C18" s="566"/>
      <c r="D18" s="139" t="s">
        <v>66</v>
      </c>
      <c r="E18" s="298">
        <f>'ｼｰﾄNO.4（表-4）60頁'!G17</f>
        <v>7.65</v>
      </c>
      <c r="F18" s="544"/>
      <c r="G18" s="544"/>
      <c r="H18" s="218">
        <f>12.28697452/G17-0.05907844*G17+0.00051753*G17^2+2.69979197</f>
        <v>1.8458352713961288</v>
      </c>
      <c r="I18" s="621"/>
      <c r="J18" s="221">
        <f t="shared" ref="J18" si="20">C17*E18*F17*H18/1000000*I17</f>
        <v>0.69388824105850422</v>
      </c>
      <c r="K18" s="391">
        <f>9.45345681/G17-0.14325844*G17+0.00124097*G17^2+5.98054622</f>
        <v>3.1964189181306741</v>
      </c>
      <c r="L18" s="621"/>
      <c r="M18" s="221">
        <f>C17*E18*F17*K18/1000000*L17</f>
        <v>273.28411988481696</v>
      </c>
      <c r="N18" s="391">
        <f>0.6037810576/G17-0.0052863845*G17+0.0000423961*G17^2+0.3189943526</f>
        <v>0.2221957386453178</v>
      </c>
      <c r="O18" s="621"/>
      <c r="P18" s="221">
        <f>C17*E18*F17*N18/1000000*O17</f>
        <v>76.663431162586704</v>
      </c>
      <c r="Q18" s="392">
        <f>1.5469182952/G17-0.0051393982*G17+0.0000404677*G17^2+0.2460289003</f>
        <v>0.18440269458155631</v>
      </c>
      <c r="R18" s="659"/>
      <c r="S18" s="100">
        <f t="shared" ref="S18" si="21">C17*E18*F17*Q18/1000000*R17</f>
        <v>127.38629610962505</v>
      </c>
      <c r="T18" s="665"/>
      <c r="U18" s="665"/>
      <c r="V18" s="665"/>
      <c r="W18" s="666"/>
    </row>
    <row r="19" spans="1:23" ht="17.25">
      <c r="A19" s="571"/>
      <c r="B19" s="540" t="s">
        <v>360</v>
      </c>
      <c r="C19" s="553">
        <f>'ｼｰﾄNO.3（表-3）59頁'!$F$30</f>
        <v>9</v>
      </c>
      <c r="D19" s="138" t="s">
        <v>65</v>
      </c>
      <c r="E19" s="292">
        <f>'ｼｰﾄNO.4（表-4）60頁'!G18</f>
        <v>44.65</v>
      </c>
      <c r="F19" s="543">
        <f>'ｼｰﾄNO.4（表-4）60頁'!C18/1000</f>
        <v>0.76100000000000001</v>
      </c>
      <c r="G19" s="543">
        <f>F19/('ｼｰﾄNO.4（表-4）60頁'!D18/3600)</f>
        <v>23.617241379310347</v>
      </c>
      <c r="H19" s="219">
        <f>-2.71095565/G19-0.09453616*G19+0.00089493*G19^2+3.15403637</f>
        <v>1.3057346844709239</v>
      </c>
      <c r="I19" s="620">
        <v>6000</v>
      </c>
      <c r="J19" s="99">
        <f t="shared" ref="J19" si="22">C19*E19*F19*H19/1000000*I19</f>
        <v>2.3958234991708895</v>
      </c>
      <c r="K19" s="390">
        <f>-0.25063622/G19-0.00657231*G19+0.00005332*G19^2+0.29056757</f>
        <v>0.15447582708241564</v>
      </c>
      <c r="L19" s="620">
        <v>1364600</v>
      </c>
      <c r="M19" s="99">
        <f>C19*E19*F19*K19/1000000*L19</f>
        <v>64.463595592144017</v>
      </c>
      <c r="N19" s="390">
        <f>0.093055673/G19-0.0002682273*G19+0.00000218*G19^2+0.0173678037</f>
        <v>1.6189120770491214E-2</v>
      </c>
      <c r="O19" s="620">
        <v>5506900</v>
      </c>
      <c r="P19" s="99">
        <f>C19*E19*F19*N19/1000000*O19</f>
        <v>27.26334143467032</v>
      </c>
      <c r="Q19" s="390">
        <f>0.0505593958/G19-0.000357176*G19+0.0000031505*G19^2+0.0131649024</f>
        <v>8.6274411590132813E-3</v>
      </c>
      <c r="R19" s="658">
        <v>11025800</v>
      </c>
      <c r="S19" s="393">
        <f t="shared" ref="S19" si="23">C19*E19*F19*Q19/1000000*R19</f>
        <v>29.089800702414411</v>
      </c>
      <c r="T19" s="665"/>
      <c r="U19" s="665"/>
      <c r="V19" s="665"/>
      <c r="W19" s="666"/>
    </row>
    <row r="20" spans="1:23" ht="17.25">
      <c r="A20" s="571"/>
      <c r="B20" s="542"/>
      <c r="C20" s="566"/>
      <c r="D20" s="139" t="s">
        <v>66</v>
      </c>
      <c r="E20" s="295">
        <f>'ｼｰﾄNO.4（表-4）60頁'!G19</f>
        <v>2.35</v>
      </c>
      <c r="F20" s="544"/>
      <c r="G20" s="544"/>
      <c r="H20" s="218">
        <f>12.28697452/G19-0.05907844*G19+0.00051753*G19^2+2.69979197</f>
        <v>2.113441450076075</v>
      </c>
      <c r="I20" s="621"/>
      <c r="J20" s="221">
        <f t="shared" ref="J20" si="24">C19*E20*F19*H20/1000000*I19</f>
        <v>0.20409694293115166</v>
      </c>
      <c r="K20" s="391">
        <f>9.45345681/G19-0.14325844*G19+0.00124097*G19^2+5.98054622</f>
        <v>3.6896357499342938</v>
      </c>
      <c r="L20" s="621"/>
      <c r="M20" s="221">
        <f>C19*E20*F19*K20/1000000*L19</f>
        <v>81.037099651021293</v>
      </c>
      <c r="N20" s="391">
        <f>0.6037810576/G19-0.0052863845*G19+0.0000423961*G19^2+0.3189943526</f>
        <v>0.24335724593335084</v>
      </c>
      <c r="O20" s="621"/>
      <c r="P20" s="221">
        <f>C19*E20*F19*N20/1000000*O19</f>
        <v>21.569818985363447</v>
      </c>
      <c r="Q20" s="392">
        <f>1.5469182952/G19-0.0051393982*G19+0.0000404677*G19^2+0.2460289003</f>
        <v>0.21272186062033011</v>
      </c>
      <c r="R20" s="659"/>
      <c r="S20" s="300">
        <f t="shared" ref="S20" si="25">C19*E20*F19*Q20/1000000*R19</f>
        <v>37.750026593174418</v>
      </c>
      <c r="T20" s="665"/>
      <c r="U20" s="665"/>
      <c r="V20" s="665"/>
      <c r="W20" s="666"/>
    </row>
    <row r="21" spans="1:23" ht="17.25">
      <c r="A21" s="571"/>
      <c r="B21" s="540" t="s">
        <v>232</v>
      </c>
      <c r="C21" s="553">
        <f>'ｼｰﾄNO.3（表-3）59頁'!$F$30</f>
        <v>9</v>
      </c>
      <c r="D21" s="138" t="s">
        <v>65</v>
      </c>
      <c r="E21" s="294">
        <f>'ｼｰﾄNO.4（表-4）60頁'!G20</f>
        <v>159.6</v>
      </c>
      <c r="F21" s="543">
        <f>'ｼｰﾄNO.4（表-4）60頁'!C20/1000</f>
        <v>0.84799999999999998</v>
      </c>
      <c r="G21" s="543">
        <f>F21/('ｼｰﾄNO.4（表-4）60頁'!D20/3600)</f>
        <v>29.353846153846153</v>
      </c>
      <c r="H21" s="219">
        <f>-2.71095565/G21-0.09453616*G21+0.00089493*G21^2+3.15403637</f>
        <v>1.057797013060215</v>
      </c>
      <c r="I21" s="620">
        <v>6000</v>
      </c>
      <c r="J21" s="99">
        <f t="shared" ref="J21" si="26">C21*E21*F21*H21/1000000*I21</f>
        <v>7.7308070751997162</v>
      </c>
      <c r="K21" s="390">
        <f>-0.25063622/G21-0.00657231*G21+0.00005332*G21^2+0.29056757</f>
        <v>0.13504963423886224</v>
      </c>
      <c r="L21" s="620">
        <v>1364600</v>
      </c>
      <c r="M21" s="99">
        <f>C21*E21*F21*K21/1000000*L21</f>
        <v>224.4760584174193</v>
      </c>
      <c r="N21" s="390">
        <f>0.093055673/G21-0.0002682273*G21+0.00000218*G21^2+0.0173678037</f>
        <v>1.454282967129706E-2</v>
      </c>
      <c r="O21" s="620">
        <v>5506900</v>
      </c>
      <c r="P21" s="99">
        <f>C21*E21*F21*N21/1000000*O21</f>
        <v>97.550018590208296</v>
      </c>
      <c r="Q21" s="390">
        <f>0.0505593958/G21-0.000357176*G21+0.0000031505*G21^2+0.0131649024</f>
        <v>7.1174472474651723E-3</v>
      </c>
      <c r="R21" s="658">
        <v>11025800</v>
      </c>
      <c r="S21" s="99">
        <f t="shared" ref="S21" si="27">C21*E21*F21*Q21/1000000*R21</f>
        <v>95.588493287772266</v>
      </c>
      <c r="T21" s="665"/>
      <c r="U21" s="665"/>
      <c r="V21" s="665"/>
      <c r="W21" s="666"/>
    </row>
    <row r="22" spans="1:23" ht="17.25">
      <c r="A22" s="571"/>
      <c r="B22" s="542"/>
      <c r="C22" s="566"/>
      <c r="D22" s="139" t="s">
        <v>66</v>
      </c>
      <c r="E22" s="298">
        <f>'ｼｰﾄNO.4（表-4）60頁'!G21</f>
        <v>8.4</v>
      </c>
      <c r="F22" s="544"/>
      <c r="G22" s="544"/>
      <c r="H22" s="218">
        <f>12.28697452/G21-0.05907844*G21+0.00051753*G21^2+2.69979197</f>
        <v>1.8301227847474923</v>
      </c>
      <c r="I22" s="621"/>
      <c r="J22" s="221">
        <f t="shared" ref="J22" si="28">C21*E22*F21*H22/1000000*I21</f>
        <v>0.7039618534969202</v>
      </c>
      <c r="K22" s="391">
        <f>9.45345681/G21-0.14325844*G21+0.00124097*G21^2+5.98054622</f>
        <v>3.1666914087323992</v>
      </c>
      <c r="L22" s="621"/>
      <c r="M22" s="221">
        <f>C21*E22*F21*K22/1000000*L21</f>
        <v>277.03124802688239</v>
      </c>
      <c r="N22" s="391">
        <f>0.6037810576/G21-0.0052863845*G21+0.0000423961*G21^2+0.3189943526</f>
        <v>0.22091822327780172</v>
      </c>
      <c r="O22" s="621"/>
      <c r="P22" s="221">
        <f>C21*E22*F21*N22/1000000*O21</f>
        <v>77.993135393723705</v>
      </c>
      <c r="Q22" s="392">
        <f>1.5469182952/G21-0.0051393982*G21+0.0000404677*G21^2+0.2460289003</f>
        <v>0.18273571900343621</v>
      </c>
      <c r="R22" s="659"/>
      <c r="S22" s="100">
        <f t="shared" ref="S22" si="29">C21*E22*F21*Q22/1000000*R21</f>
        <v>129.16689045261356</v>
      </c>
      <c r="T22" s="665"/>
      <c r="U22" s="665"/>
      <c r="V22" s="665"/>
      <c r="W22" s="666"/>
    </row>
    <row r="23" spans="1:23" ht="17.25">
      <c r="A23" s="571"/>
      <c r="B23" s="540" t="s">
        <v>233</v>
      </c>
      <c r="C23" s="553">
        <f>'ｼｰﾄNO.3（表-3）59頁'!$F$30</f>
        <v>9</v>
      </c>
      <c r="D23" s="138" t="s">
        <v>65</v>
      </c>
      <c r="E23" s="292">
        <f>'ｼｰﾄNO.4（表-4）60頁'!G22</f>
        <v>746.69999999999993</v>
      </c>
      <c r="F23" s="543">
        <f>'ｼｰﾄNO.4（表-4）60頁'!C22/1000</f>
        <v>0.61699999999999999</v>
      </c>
      <c r="G23" s="543">
        <f>F23/('ｼｰﾄNO.4（表-4）60頁'!D22/3600)</f>
        <v>26.442857142857143</v>
      </c>
      <c r="H23" s="219">
        <f>-2.71095565/G23-0.09453616*G23+0.00089493*G23^2+3.15403637</f>
        <v>1.1774660682172056</v>
      </c>
      <c r="I23" s="620">
        <v>6000</v>
      </c>
      <c r="J23" s="99">
        <f t="shared" ref="J23" si="30">C23*E23*F23*H23/1000000*I23</f>
        <v>29.293649157924794</v>
      </c>
      <c r="K23" s="390">
        <f>-0.25063622/G23-0.00657231*G23+0.00005332*G23^2+0.29056757</f>
        <v>0.14458116706475485</v>
      </c>
      <c r="L23" s="620">
        <v>1364600</v>
      </c>
      <c r="M23" s="99">
        <f>C23*E23*F23*K23/1000000*L23</f>
        <v>818.07084985072731</v>
      </c>
      <c r="N23" s="390">
        <f>0.093055673/G23-0.0002682273*G23+0.00000218*G23^2+0.0173678037</f>
        <v>1.5318540593027376E-2</v>
      </c>
      <c r="O23" s="620">
        <v>5506900</v>
      </c>
      <c r="P23" s="99">
        <f>C23*E23*F23*N23/1000000*O23</f>
        <v>349.78276520698779</v>
      </c>
      <c r="Q23" s="390">
        <f>0.0505593958/G23-0.000357176*G23+0.0000031505*G23^2+0.0131649024</f>
        <v>7.835080547802676E-3</v>
      </c>
      <c r="R23" s="658">
        <v>11025800</v>
      </c>
      <c r="S23" s="393">
        <f t="shared" ref="S23" si="31">C23*E23*F23*Q23/1000000*R23</f>
        <v>358.20150050905181</v>
      </c>
      <c r="T23" s="665"/>
      <c r="U23" s="665"/>
      <c r="V23" s="665"/>
      <c r="W23" s="666"/>
    </row>
    <row r="24" spans="1:23" ht="17.25">
      <c r="A24" s="571"/>
      <c r="B24" s="542"/>
      <c r="C24" s="566"/>
      <c r="D24" s="139" t="s">
        <v>66</v>
      </c>
      <c r="E24" s="295">
        <f>'ｼｰﾄNO.4（表-4）60頁'!G23</f>
        <v>39.300000000000004</v>
      </c>
      <c r="F24" s="544"/>
      <c r="G24" s="544"/>
      <c r="H24" s="218">
        <f>12.28697452/G23-0.05907844*G23+0.00051753*G23^2+2.69979197</f>
        <v>1.9641203577708941</v>
      </c>
      <c r="I24" s="621"/>
      <c r="J24" s="221">
        <f t="shared" ref="J24" si="32">C23*E24*F23*H24/1000000*I23</f>
        <v>2.5718140897522788</v>
      </c>
      <c r="K24" s="391">
        <f>9.45345681/G23-0.14325844*G23+0.00124097*G23^2+5.98054622</f>
        <v>3.4176057447057486</v>
      </c>
      <c r="L24" s="621"/>
      <c r="M24" s="221">
        <f>C23*E24*F23*K24/1000000*L23</f>
        <v>1017.765093762891</v>
      </c>
      <c r="N24" s="391">
        <f>0.6037810576/G23-0.0052863845*G23+0.0000423961*G23^2+0.3189943526</f>
        <v>0.23168506986225051</v>
      </c>
      <c r="O24" s="621"/>
      <c r="P24" s="221">
        <f>C23*E24*F23*N24/1000000*O23</f>
        <v>278.43604875738936</v>
      </c>
      <c r="Q24" s="392">
        <f>1.5469182952/G23-0.0051393982*G23+0.0000404677*G23^2+0.2460289003</f>
        <v>0.19692496479413757</v>
      </c>
      <c r="R24" s="659"/>
      <c r="S24" s="300">
        <f t="shared" ref="S24" si="33">C23*E24*F23*Q24/1000000*R23</f>
        <v>473.83933570230317</v>
      </c>
      <c r="T24" s="665"/>
      <c r="U24" s="665"/>
      <c r="V24" s="665"/>
      <c r="W24" s="666"/>
    </row>
    <row r="25" spans="1:23" ht="17.25">
      <c r="A25" s="571"/>
      <c r="B25" s="540" t="s">
        <v>255</v>
      </c>
      <c r="C25" s="553">
        <f>'ｼｰﾄNO.3（表-3）59頁'!$F$30</f>
        <v>9</v>
      </c>
      <c r="D25" s="138" t="s">
        <v>65</v>
      </c>
      <c r="E25" s="294">
        <f>'ｼｰﾄNO.4（表-4）60頁'!G24</f>
        <v>139.65</v>
      </c>
      <c r="F25" s="543">
        <f>'ｼｰﾄNO.4（表-4）60頁'!C24/1000</f>
        <v>0.82399999999999995</v>
      </c>
      <c r="G25" s="543">
        <f>F25/('ｼｰﾄNO.4（表-4）60頁'!D24/3600)</f>
        <v>26.724324324324321</v>
      </c>
      <c r="H25" s="219">
        <f>-2.71095565/G25-0.09453616*G25+0.00089493*G25^2+3.15403637</f>
        <v>1.1653294846039817</v>
      </c>
      <c r="I25" s="620">
        <v>6000</v>
      </c>
      <c r="J25" s="99">
        <f t="shared" ref="J25" si="34">C25*E25*F25*H25/1000000*I25</f>
        <v>7.2412017293100002</v>
      </c>
      <c r="K25" s="390">
        <f>-0.25063622/G25-0.00657231*G25+0.00005332*G25^2+0.29056757</f>
        <v>0.14362903046607486</v>
      </c>
      <c r="L25" s="620">
        <v>1364600</v>
      </c>
      <c r="M25" s="99">
        <f>C25*E25*F25*K25/1000000*L25</f>
        <v>202.98234103324924</v>
      </c>
      <c r="N25" s="390">
        <f>0.093055673/G25-0.0002682273*G25+0.00000218*G25^2+0.0173678037</f>
        <v>1.5238602436619324E-2</v>
      </c>
      <c r="O25" s="620">
        <v>5506900</v>
      </c>
      <c r="P25" s="99">
        <f>C25*E25*F25*N25/1000000*O25</f>
        <v>86.908647260824836</v>
      </c>
      <c r="Q25" s="390">
        <f>0.0505593958/G25-0.000357176*G25+0.0000031505*G25^2+0.0131649024</f>
        <v>7.761555964750963E-3</v>
      </c>
      <c r="R25" s="658">
        <v>11025800</v>
      </c>
      <c r="S25" s="99">
        <f t="shared" ref="S25" si="35">C25*E25*F25*Q25/1000000*R25</f>
        <v>88.627717540820939</v>
      </c>
      <c r="T25" s="665"/>
      <c r="U25" s="665"/>
      <c r="V25" s="665"/>
      <c r="W25" s="666"/>
    </row>
    <row r="26" spans="1:23" ht="17.25">
      <c r="A26" s="571"/>
      <c r="B26" s="542"/>
      <c r="C26" s="566"/>
      <c r="D26" s="139" t="s">
        <v>66</v>
      </c>
      <c r="E26" s="298">
        <f>'ｼｰﾄNO.4（表-4）60頁'!G25</f>
        <v>7.3500000000000005</v>
      </c>
      <c r="F26" s="544"/>
      <c r="G26" s="544"/>
      <c r="H26" s="218">
        <f>12.28697452/G25-0.05907844*G25+0.00051753*G25^2+2.69979197</f>
        <v>1.9503425289917296</v>
      </c>
      <c r="I26" s="621"/>
      <c r="J26" s="221">
        <f t="shared" ref="J26" si="36">C25*E26*F25*H26/1000000*I25</f>
        <v>0.63785094259961761</v>
      </c>
      <c r="K26" s="391">
        <f>9.45345681/G25-0.14325844*G25+0.00124097*G25^2+5.98054622</f>
        <v>3.3920887517932119</v>
      </c>
      <c r="L26" s="621"/>
      <c r="M26" s="221">
        <f>C25*E26*F25*K26/1000000*L25</f>
        <v>252.30719414974877</v>
      </c>
      <c r="N26" s="391">
        <f>0.6037810576/G25-0.0052863845*G25+0.0000423961*G25^2+0.3189943526</f>
        <v>0.23059108868878508</v>
      </c>
      <c r="O26" s="621"/>
      <c r="P26" s="221">
        <f>C25*E26*F25*N26/1000000*O25</f>
        <v>69.216043413068633</v>
      </c>
      <c r="Q26" s="392">
        <f>1.5469182952/G25-0.0051393982*G25+0.0000404677*G25^2+0.2460289003</f>
        <v>0.19546784369724496</v>
      </c>
      <c r="R26" s="659"/>
      <c r="S26" s="100">
        <f t="shared" ref="S26" si="37">C25*E26*F25*Q26/1000000*R25</f>
        <v>117.47419907058894</v>
      </c>
      <c r="T26" s="665"/>
      <c r="U26" s="665"/>
      <c r="V26" s="665"/>
      <c r="W26" s="666"/>
    </row>
    <row r="27" spans="1:23" ht="17.25">
      <c r="A27" s="571"/>
      <c r="B27" s="540" t="s">
        <v>362</v>
      </c>
      <c r="C27" s="553">
        <f>'ｼｰﾄNO.3（表-3）59頁'!$F$30</f>
        <v>9</v>
      </c>
      <c r="D27" s="138" t="s">
        <v>65</v>
      </c>
      <c r="E27" s="292">
        <f>'ｼｰﾄNO.4（表-4）60頁'!G26</f>
        <v>41.8</v>
      </c>
      <c r="F27" s="543">
        <f>'ｼｰﾄNO.4（表-4）60頁'!C26/1000</f>
        <v>0.91</v>
      </c>
      <c r="G27" s="543">
        <f>F27/('ｼｰﾄNO.4（表-4）60頁'!D26/3600)</f>
        <v>24.266666666666669</v>
      </c>
      <c r="H27" s="219">
        <f>-2.71095565/G27-0.09453616*G27+0.00089493*G27^2+3.15403637</f>
        <v>1.2752421054428575</v>
      </c>
      <c r="I27" s="620">
        <v>6000</v>
      </c>
      <c r="J27" s="99">
        <f t="shared" ref="J27" si="38">C27*E27*F27*H27/1000000*I27</f>
        <v>2.6194135971691122</v>
      </c>
      <c r="K27" s="390">
        <f>-0.25063622/G27-0.00657231*G27+0.00005332*G27^2+0.29056757</f>
        <v>0.15214970598510377</v>
      </c>
      <c r="L27" s="620">
        <v>1364600</v>
      </c>
      <c r="M27" s="99">
        <f>C27*E27*F27*K27/1000000*L27</f>
        <v>71.078240398412476</v>
      </c>
      <c r="N27" s="390">
        <f>0.093055673/G27-0.0002682273*G27+0.00000218*G27^2+0.0173678037</f>
        <v>1.597727204167277E-2</v>
      </c>
      <c r="O27" s="620">
        <v>5506900</v>
      </c>
      <c r="P27" s="99">
        <f>C27*E27*F27*N27/1000000*O27</f>
        <v>30.12104282882737</v>
      </c>
      <c r="Q27" s="390">
        <f>0.0505593958/G27-0.000357176*G27+0.0000031505*G27^2+0.0131649024</f>
        <v>8.4361614873870554E-3</v>
      </c>
      <c r="R27" s="658">
        <v>11025800</v>
      </c>
      <c r="S27" s="393">
        <f t="shared" ref="S27" si="39">C27*E27*F27*Q27/1000000*R27</f>
        <v>31.843088106880259</v>
      </c>
      <c r="T27" s="665"/>
      <c r="U27" s="665"/>
      <c r="V27" s="665"/>
      <c r="W27" s="666"/>
    </row>
    <row r="28" spans="1:23" ht="17.25">
      <c r="A28" s="571"/>
      <c r="B28" s="542"/>
      <c r="C28" s="566"/>
      <c r="D28" s="139" t="s">
        <v>66</v>
      </c>
      <c r="E28" s="295">
        <f>'ｼｰﾄNO.4（表-4）60頁'!G27</f>
        <v>2.2000000000000002</v>
      </c>
      <c r="F28" s="544"/>
      <c r="G28" s="544"/>
      <c r="H28" s="218">
        <f>12.28697452/G27-0.05907844*G27+0.00051753*G27^2+2.69979197</f>
        <v>2.0772449930490842</v>
      </c>
      <c r="I28" s="621"/>
      <c r="J28" s="221">
        <f t="shared" ref="J28" si="40">C27*E28*F27*H28/1000000*I27</f>
        <v>0.22456680170855037</v>
      </c>
      <c r="K28" s="391">
        <f>9.45345681/G27-0.14325844*G27+0.00124097*G27^2+5.98054622</f>
        <v>3.6244783199735044</v>
      </c>
      <c r="L28" s="621"/>
      <c r="M28" s="221">
        <f>C27*E28*F27*K28/1000000*L27</f>
        <v>89.116363413923054</v>
      </c>
      <c r="N28" s="391">
        <f>0.6037810576/G27-0.0052863845*G27+0.0000423961*G27^2+0.3189943526</f>
        <v>0.24055834811890595</v>
      </c>
      <c r="O28" s="621"/>
      <c r="P28" s="221">
        <f>C27*E28*F27*N28/1000000*O27</f>
        <v>23.868998964418662</v>
      </c>
      <c r="Q28" s="392">
        <f>1.5469182952/G27-0.0051393982*G27+0.0000404677*G27^2+0.2460289003</f>
        <v>0.20888972982040047</v>
      </c>
      <c r="R28" s="659"/>
      <c r="S28" s="300">
        <f t="shared" ref="S28" si="41">C27*E28*F27*Q28/1000000*R27</f>
        <v>41.498632069862857</v>
      </c>
      <c r="T28" s="665"/>
      <c r="U28" s="665"/>
      <c r="V28" s="665"/>
      <c r="W28" s="666"/>
    </row>
    <row r="29" spans="1:23" ht="17.25">
      <c r="A29" s="571"/>
      <c r="B29" s="540" t="s">
        <v>236</v>
      </c>
      <c r="C29" s="553">
        <f>'ｼｰﾄNO.3（表-3）59頁'!$F$30</f>
        <v>9</v>
      </c>
      <c r="D29" s="138" t="s">
        <v>65</v>
      </c>
      <c r="E29" s="294">
        <f>'ｼｰﾄNO.4（表-4）60頁'!G28</f>
        <v>748.59999999999991</v>
      </c>
      <c r="F29" s="543">
        <f>'ｼｰﾄNO.4（表-4）60頁'!C28/1000</f>
        <v>0.61699999999999999</v>
      </c>
      <c r="G29" s="543">
        <f>F29/('ｼｰﾄNO.4（表-4）60頁'!D28/3600)</f>
        <v>26.442857142857143</v>
      </c>
      <c r="H29" s="219">
        <f>-2.71095565/G29-0.09453616*G29+0.00089493*G29^2+3.15403637</f>
        <v>1.1774660682172056</v>
      </c>
      <c r="I29" s="620">
        <v>6000</v>
      </c>
      <c r="J29" s="99">
        <f t="shared" ref="J29" si="42">C29*E29*F29*H29/1000000*I29</f>
        <v>29.368187705400437</v>
      </c>
      <c r="K29" s="390">
        <f>-0.25063622/G29-0.00657231*G29+0.00005332*G29^2+0.29056757</f>
        <v>0.14458116706475485</v>
      </c>
      <c r="L29" s="620">
        <v>1364600</v>
      </c>
      <c r="M29" s="99">
        <f>C29*E29*F29*K29/1000000*L29</f>
        <v>820.15245506663257</v>
      </c>
      <c r="N29" s="390">
        <f>0.093055673/G29-0.0002682273*G29+0.00000218*G29^2+0.0173678037</f>
        <v>1.5318540593027376E-2</v>
      </c>
      <c r="O29" s="620">
        <v>5506900</v>
      </c>
      <c r="P29" s="99">
        <f>C29*E29*F29*N29/1000000*O29</f>
        <v>350.67279768843053</v>
      </c>
      <c r="Q29" s="390">
        <f>0.0505593958/G29-0.000357176*G29+0.0000031505*G29^2+0.0131649024</f>
        <v>7.835080547802676E-3</v>
      </c>
      <c r="R29" s="658">
        <v>11025800</v>
      </c>
      <c r="S29" s="99">
        <f t="shared" ref="S29" si="43">C29*E29*F29*Q29/1000000*R29</f>
        <v>359.1129547088205</v>
      </c>
      <c r="T29" s="665"/>
      <c r="U29" s="665"/>
      <c r="V29" s="665"/>
      <c r="W29" s="666"/>
    </row>
    <row r="30" spans="1:23" ht="17.25">
      <c r="A30" s="572"/>
      <c r="B30" s="542"/>
      <c r="C30" s="566"/>
      <c r="D30" s="139" t="s">
        <v>66</v>
      </c>
      <c r="E30" s="298">
        <f>'ｼｰﾄNO.4（表-4）60頁'!G29</f>
        <v>39.400000000000006</v>
      </c>
      <c r="F30" s="544"/>
      <c r="G30" s="544"/>
      <c r="H30" s="218">
        <f>12.28697452/G29-0.05907844*G29+0.00051753*G29^2+2.69979197</f>
        <v>1.9641203577708941</v>
      </c>
      <c r="I30" s="621"/>
      <c r="J30" s="221">
        <f t="shared" ref="J30" si="44">C29*E30*F29*H30/1000000*I29</f>
        <v>2.5783581459603</v>
      </c>
      <c r="K30" s="391">
        <f>9.45345681/G29-0.14325844*G29+0.00124097*G29^2+5.98054622</f>
        <v>3.4176057447057486</v>
      </c>
      <c r="L30" s="621"/>
      <c r="M30" s="221">
        <f>C29*E30*F29*K30/1000000*L29</f>
        <v>1020.354826825901</v>
      </c>
      <c r="N30" s="391">
        <f>0.6037810576/G29-0.0052863845*G29+0.0000423961*G29^2+0.3189943526</f>
        <v>0.23168506986225051</v>
      </c>
      <c r="O30" s="621"/>
      <c r="P30" s="221">
        <f>C29*E30*F29*N30/1000000*O29</f>
        <v>279.14453743107231</v>
      </c>
      <c r="Q30" s="392">
        <f>1.5469182952/G29-0.0051393982*G29+0.0000404677*G29^2+0.2460289003</f>
        <v>0.19692496479413757</v>
      </c>
      <c r="R30" s="659"/>
      <c r="S30" s="100">
        <f t="shared" ref="S30" si="45">C29*E30*F29*Q30/1000000*R29</f>
        <v>475.04503375752523</v>
      </c>
      <c r="T30" s="617"/>
      <c r="U30" s="617"/>
      <c r="V30" s="617"/>
      <c r="W30" s="666"/>
    </row>
    <row r="31" spans="1:23" ht="13.5" customHeight="1">
      <c r="A31" s="540" t="s">
        <v>974</v>
      </c>
      <c r="B31" s="540" t="s">
        <v>224</v>
      </c>
      <c r="C31" s="553">
        <f>'ｼｰﾄNO.3（表-3）59頁'!$F$30</f>
        <v>9</v>
      </c>
      <c r="D31" s="138" t="s">
        <v>65</v>
      </c>
      <c r="E31" s="292">
        <f>'ｼｰﾄNO.4（表-4）60頁'!G33</f>
        <v>772.34999999999991</v>
      </c>
      <c r="F31" s="543">
        <f>'ｼｰﾄNO.4（表-4）60頁'!C33/1000</f>
        <v>1.054</v>
      </c>
      <c r="G31" s="543">
        <f>F31/('ｼｰﾄNO.4（表-4）60頁'!D33/3600)</f>
        <v>29.413953488372094</v>
      </c>
      <c r="H31" s="219">
        <f>-2.71095565/G31-0.09453616*G31+0.00089493*G31^2+3.15403637</f>
        <v>1.0554646514177595</v>
      </c>
      <c r="I31" s="620">
        <v>6000</v>
      </c>
      <c r="J31" s="99">
        <f>C31*E31*F31*H31/1000000*I31</f>
        <v>46.397247238406976</v>
      </c>
      <c r="K31" s="390">
        <f>-0.25063622/G31-0.00657231*G31+0.00005332*G31^2+0.29056757</f>
        <v>0.13486038477096629</v>
      </c>
      <c r="L31" s="620">
        <v>1364600</v>
      </c>
      <c r="M31" s="99">
        <f>C31*E31*F31*K31/1000000*L31</f>
        <v>1348.3015462436324</v>
      </c>
      <c r="N31" s="390">
        <f>0.093055673/G31-0.0002682273*G31+0.00000218*G31^2+0.0173678037</f>
        <v>1.4527929658914706E-2</v>
      </c>
      <c r="O31" s="620">
        <v>5506900</v>
      </c>
      <c r="P31" s="99">
        <f>C31*E31*F31*N31/1000000*O31</f>
        <v>586.14921784872558</v>
      </c>
      <c r="Q31" s="390">
        <f>0.0505593958/G31-0.000357176*G31+0.0000031505*G31^2+0.0131649024</f>
        <v>7.1035873572779535E-3</v>
      </c>
      <c r="R31" s="658">
        <v>11025800</v>
      </c>
      <c r="S31" s="375">
        <f t="shared" ref="S31" si="46">C31*E31*F31*Q31/1000000*R31</f>
        <v>573.83245457468729</v>
      </c>
      <c r="T31" s="616">
        <f>SUM(J31:J54)+SUM(M31:M54)+SUM(P31:P54)+SUM(S31:S54)</f>
        <v>24615.01558078469</v>
      </c>
      <c r="U31" s="616">
        <f>'ｼｰﾄNO.3（表-3）59頁'!$F$36</f>
        <v>12</v>
      </c>
      <c r="V31" s="616">
        <f>T31*U31</f>
        <v>295380.18696941627</v>
      </c>
      <c r="W31" s="666"/>
    </row>
    <row r="32" spans="1:23" ht="17.25">
      <c r="A32" s="541"/>
      <c r="B32" s="542"/>
      <c r="C32" s="566"/>
      <c r="D32" s="139" t="s">
        <v>66</v>
      </c>
      <c r="E32" s="295">
        <f>'ｼｰﾄNO.4（表-4）60頁'!G34</f>
        <v>40.650000000000006</v>
      </c>
      <c r="F32" s="544"/>
      <c r="G32" s="544"/>
      <c r="H32" s="218">
        <f>12.28697452/G31-0.05907844*G31+0.00051753*G31^2+2.69979197</f>
        <v>1.8275444776395025</v>
      </c>
      <c r="I32" s="621"/>
      <c r="J32" s="221">
        <f>C31*E32*F31*H32/1000000*I31</f>
        <v>4.2282715985412613</v>
      </c>
      <c r="K32" s="391">
        <f>9.45345681/G31-0.14325844*G31+0.00124097*G31^2+5.98054622</f>
        <v>3.1618059863109744</v>
      </c>
      <c r="L32" s="621"/>
      <c r="M32" s="221">
        <f>C31*E32*F31*K32/1000000*L31</f>
        <v>1663.7353892461838</v>
      </c>
      <c r="N32" s="391">
        <f>0.6037810576/G31-0.0052863845*G31+0.0000423961*G31^2+0.3189943526</f>
        <v>0.22070819893257029</v>
      </c>
      <c r="O32" s="621"/>
      <c r="P32" s="221">
        <f>C31*E32*F31*N32/1000000*O31</f>
        <v>468.67234432468922</v>
      </c>
      <c r="Q32" s="392">
        <f>1.5469182952/G31-0.0051393982*G31+0.0000404677*G31^2+0.2460289003</f>
        <v>0.18246206033923956</v>
      </c>
      <c r="R32" s="659"/>
      <c r="S32" s="300">
        <f t="shared" ref="S32" si="47">C31*E32*F31*Q32/1000000*R31</f>
        <v>775.75816485505311</v>
      </c>
      <c r="T32" s="665"/>
      <c r="U32" s="665"/>
      <c r="V32" s="665"/>
      <c r="W32" s="666"/>
    </row>
    <row r="33" spans="1:23" ht="17.25">
      <c r="A33" s="541"/>
      <c r="B33" s="540" t="s">
        <v>257</v>
      </c>
      <c r="C33" s="553">
        <f>'ｼｰﾄNO.3（表-3）59頁'!$F$30</f>
        <v>9</v>
      </c>
      <c r="D33" s="138" t="s">
        <v>65</v>
      </c>
      <c r="E33" s="294">
        <f>'ｼｰﾄNO.4（表-4）60頁'!G35</f>
        <v>152</v>
      </c>
      <c r="F33" s="543">
        <f>'ｼｰﾄNO.4（表-4）60頁'!C35/1000</f>
        <v>0.76100000000000001</v>
      </c>
      <c r="G33" s="543">
        <f>F33/('ｼｰﾄNO.4（表-4）60頁'!D35/3600)</f>
        <v>26.598058252427183</v>
      </c>
      <c r="H33" s="219">
        <f>-2.71095565/G33-0.09453616*G33+0.00089493*G33^2+3.15403637</f>
        <v>1.1707592402727975</v>
      </c>
      <c r="I33" s="620">
        <v>6000</v>
      </c>
      <c r="J33" s="99">
        <f t="shared" ref="J33" si="48">C33*E33*F33*H33/1000000*I33</f>
        <v>7.3128993934050914</v>
      </c>
      <c r="K33" s="390">
        <f>-0.25063622/G33-0.00657231*G33+0.00005332*G33^2+0.29056757</f>
        <v>0.1440553750066611</v>
      </c>
      <c r="L33" s="620">
        <v>1364600</v>
      </c>
      <c r="M33" s="99">
        <f>C33*E33*F33*K33/1000000*L33</f>
        <v>204.64709703049462</v>
      </c>
      <c r="N33" s="390">
        <f>0.093055673/G33-0.0002682273*G33+0.00000218*G33^2+0.0173678037</f>
        <v>1.52743229233389E-2</v>
      </c>
      <c r="O33" s="620">
        <v>5506900</v>
      </c>
      <c r="P33" s="99">
        <f>C33*E33*F33*N33/1000000*O33</f>
        <v>87.566887311810433</v>
      </c>
      <c r="Q33" s="390">
        <f>0.0505593958/G33-0.000357176*G33+0.0000031505*G33^2+0.0131649024</f>
        <v>7.7944246128264739E-3</v>
      </c>
      <c r="R33" s="658">
        <v>11025800</v>
      </c>
      <c r="S33" s="99">
        <f t="shared" ref="S33" si="49">C33*E33*F33*Q33/1000000*R33</f>
        <v>89.467422447653334</v>
      </c>
      <c r="T33" s="665"/>
      <c r="U33" s="665"/>
      <c r="V33" s="665"/>
      <c r="W33" s="666"/>
    </row>
    <row r="34" spans="1:23" ht="17.25">
      <c r="A34" s="541"/>
      <c r="B34" s="542"/>
      <c r="C34" s="566"/>
      <c r="D34" s="139" t="s">
        <v>66</v>
      </c>
      <c r="E34" s="298">
        <f>'ｼｰﾄNO.4（表-4）60頁'!G36</f>
        <v>8</v>
      </c>
      <c r="F34" s="544"/>
      <c r="G34" s="544"/>
      <c r="H34" s="218">
        <f>12.28697452/G33-0.05907844*G33+0.00051753*G33^2+2.69979197</f>
        <v>1.956500305599318</v>
      </c>
      <c r="I34" s="621"/>
      <c r="J34" s="221">
        <f t="shared" ref="J34" si="50">C33*E34*F33*H34/1000000*I33</f>
        <v>0.64320338846638703</v>
      </c>
      <c r="K34" s="391">
        <f>9.45345681/G33-0.14325844*G33+0.00124097*G33^2+5.98054622</f>
        <v>3.4035014902498837</v>
      </c>
      <c r="L34" s="621"/>
      <c r="M34" s="221">
        <f>C33*E34*F33*K34/1000000*L33</f>
        <v>254.47695837593676</v>
      </c>
      <c r="N34" s="391">
        <f>0.6037810576/G33-0.0052863845*G33+0.0000423961*G33^2+0.3189943526</f>
        <v>0.23108038791118332</v>
      </c>
      <c r="O34" s="621"/>
      <c r="P34" s="221">
        <f>C33*E34*F33*N34/1000000*O33</f>
        <v>69.724824740002134</v>
      </c>
      <c r="Q34" s="392">
        <f>1.5469182952/G33-0.0051393982*G33+0.0000404677*G33^2+0.2460289003</f>
        <v>0.19611910183106107</v>
      </c>
      <c r="R34" s="659"/>
      <c r="S34" s="100">
        <f t="shared" ref="S34" si="51">C33*E34*F33*Q34/1000000*R33</f>
        <v>118.4805766547527</v>
      </c>
      <c r="T34" s="665"/>
      <c r="U34" s="665"/>
      <c r="V34" s="665"/>
      <c r="W34" s="666"/>
    </row>
    <row r="35" spans="1:23" ht="17.25">
      <c r="A35" s="541"/>
      <c r="B35" s="540" t="s">
        <v>355</v>
      </c>
      <c r="C35" s="553">
        <f>'ｼｰﾄNO.3（表-3）59頁'!$F$30</f>
        <v>9</v>
      </c>
      <c r="D35" s="138" t="s">
        <v>65</v>
      </c>
      <c r="E35" s="292">
        <f>'ｼｰﾄNO.4（表-4）60頁'!G37</f>
        <v>38</v>
      </c>
      <c r="F35" s="543">
        <f>'ｼｰﾄNO.4（表-4）60頁'!C37/1000</f>
        <v>0.82399999999999995</v>
      </c>
      <c r="G35" s="543">
        <f>F35/('ｼｰﾄNO.4（表-4）60頁'!D37/3600)</f>
        <v>20.179591836734694</v>
      </c>
      <c r="H35" s="219">
        <f>-2.71095565/G35-0.09453616*G35+0.00089493*G35^2+3.15403637</f>
        <v>1.4764235455645425</v>
      </c>
      <c r="I35" s="620">
        <v>6000</v>
      </c>
      <c r="J35" s="99">
        <f t="shared" ref="J35" si="52">C35*E35*F35*H35/1000000*I35</f>
        <v>2.4964077991707154</v>
      </c>
      <c r="K35" s="390">
        <f>-0.25063622/G35-0.00657231*G35+0.00005332*G35^2+0.29056757</f>
        <v>0.16723350804930318</v>
      </c>
      <c r="L35" s="620">
        <v>1364600</v>
      </c>
      <c r="M35" s="99">
        <f>C35*E35*F35*K35/1000000*L35</f>
        <v>64.310514599454166</v>
      </c>
      <c r="N35" s="390">
        <f>0.093055673/G35-0.0002682273*G35+0.00000218*G35^2+0.0173678037</f>
        <v>1.7454192368000755E-2</v>
      </c>
      <c r="O35" s="620">
        <v>5506900</v>
      </c>
      <c r="P35" s="99">
        <f>C35*E35*F35*N35/1000000*O35</f>
        <v>27.086959979824169</v>
      </c>
      <c r="Q35" s="390">
        <f>0.0505593958/G35-0.000357176*G35+0.0000031505*G35^2+0.0131649024</f>
        <v>9.7456419601642079E-3</v>
      </c>
      <c r="R35" s="658">
        <v>11025800</v>
      </c>
      <c r="S35" s="393">
        <f t="shared" ref="S35" si="53">C35*E35*F35*Q35/1000000*R35</f>
        <v>30.281255681242861</v>
      </c>
      <c r="T35" s="665"/>
      <c r="U35" s="665"/>
      <c r="V35" s="665"/>
      <c r="W35" s="666"/>
    </row>
    <row r="36" spans="1:23" ht="17.25">
      <c r="A36" s="541"/>
      <c r="B36" s="542"/>
      <c r="C36" s="566"/>
      <c r="D36" s="139" t="s">
        <v>66</v>
      </c>
      <c r="E36" s="295">
        <f>'ｼｰﾄNO.4（表-4）60頁'!G38</f>
        <v>2</v>
      </c>
      <c r="F36" s="544"/>
      <c r="G36" s="544"/>
      <c r="H36" s="218">
        <f>12.28697452/G35-0.05907844*G35+0.00051753*G35^2+2.69979197</f>
        <v>2.3272408441495442</v>
      </c>
      <c r="I36" s="621"/>
      <c r="J36" s="221">
        <f t="shared" ref="J36" si="54">C35*E36*F35*H36/1000000*I35</f>
        <v>0.20710581720255625</v>
      </c>
      <c r="K36" s="391">
        <f>9.45345681/G35-0.14325844*G35+0.00124097*G35^2+5.98054622</f>
        <v>4.063458327374196</v>
      </c>
      <c r="L36" s="621"/>
      <c r="M36" s="221">
        <f>C35*E36*F35*K36/1000000*L35</f>
        <v>82.243369303788555</v>
      </c>
      <c r="N36" s="391">
        <f>0.6037810576/G35-0.0052863845*G35+0.0000423961*G35^2+0.3189943526</f>
        <v>0.25950201832709474</v>
      </c>
      <c r="O36" s="621"/>
      <c r="P36" s="221">
        <f>C35*E36*F35*N36/1000000*O35</f>
        <v>21.195694291208287</v>
      </c>
      <c r="Q36" s="392">
        <f>1.5469182952/G35-0.0051393982*G35+0.0000404677*G35^2+0.2460289003</f>
        <v>0.23545459544403208</v>
      </c>
      <c r="R36" s="659"/>
      <c r="S36" s="300">
        <f t="shared" ref="S36" si="55">C35*E36*F35*Q36/1000000*R35</f>
        <v>38.504988529923068</v>
      </c>
      <c r="T36" s="665"/>
      <c r="U36" s="665"/>
      <c r="V36" s="665"/>
      <c r="W36" s="666"/>
    </row>
    <row r="37" spans="1:23" ht="17.25">
      <c r="A37" s="541"/>
      <c r="B37" s="540" t="s">
        <v>356</v>
      </c>
      <c r="C37" s="553">
        <f>'ｼｰﾄNO.3（表-3）59頁'!$F$30</f>
        <v>9</v>
      </c>
      <c r="D37" s="138" t="s">
        <v>65</v>
      </c>
      <c r="E37" s="294">
        <f>'ｼｰﾄNO.4（表-4）60頁'!G39</f>
        <v>745.75</v>
      </c>
      <c r="F37" s="543">
        <f>'ｼｰﾄNO.4（表-4）60頁'!C39/1000</f>
        <v>1.054</v>
      </c>
      <c r="G37" s="543">
        <f>F37/('ｼｰﾄNO.4（表-4）60頁'!D39/3600)</f>
        <v>20.400000000000002</v>
      </c>
      <c r="H37" s="219">
        <f>-2.71095565/G37-0.09453616*G37+0.00089493*G37^2+3.15403637</f>
        <v>1.4650427919568627</v>
      </c>
      <c r="I37" s="620">
        <v>6000</v>
      </c>
      <c r="J37" s="99">
        <f t="shared" ref="J37" si="56">C37*E37*F37*H37/1000000*I37</f>
        <v>62.183898064187773</v>
      </c>
      <c r="K37" s="390">
        <f>-0.25063622/G37-0.00657231*G37+0.00005332*G37^2+0.29056757</f>
        <v>0.1663960079843137</v>
      </c>
      <c r="L37" s="620">
        <v>1364600</v>
      </c>
      <c r="M37" s="99">
        <f>C37*E37*F37*K37/1000000*L37</f>
        <v>1606.2925762190359</v>
      </c>
      <c r="N37" s="390">
        <f>0.093055673/G37-0.0002682273*G37+0.00000218*G37^2+0.0173678037</f>
        <v>1.7364748178039215E-2</v>
      </c>
      <c r="O37" s="620">
        <v>5506900</v>
      </c>
      <c r="P37" s="99">
        <f>C37*E37*F37*N37/1000000*O37</f>
        <v>676.47548412479705</v>
      </c>
      <c r="Q37" s="390">
        <f>0.0505593958/G37-0.000357176*G37+0.0000031505*G37^2+0.0131649024</f>
        <v>9.6680258349019586E-3</v>
      </c>
      <c r="R37" s="658">
        <v>11025800</v>
      </c>
      <c r="S37" s="99">
        <f t="shared" ref="S37" si="57">C37*E37*F37*Q37/1000000*R37</f>
        <v>754.09193325697004</v>
      </c>
      <c r="T37" s="665"/>
      <c r="U37" s="665"/>
      <c r="V37" s="665"/>
      <c r="W37" s="666"/>
    </row>
    <row r="38" spans="1:23" ht="17.25">
      <c r="A38" s="541"/>
      <c r="B38" s="542"/>
      <c r="C38" s="566"/>
      <c r="D38" s="139" t="s">
        <v>66</v>
      </c>
      <c r="E38" s="298">
        <f>'ｼｰﾄNO.4（表-4）60頁'!G40</f>
        <v>39.25</v>
      </c>
      <c r="F38" s="544"/>
      <c r="G38" s="544"/>
      <c r="H38" s="218">
        <f>12.28697452/G37-0.05907844*G37+0.00051753*G37^2+2.69979197</f>
        <v>2.3122697513490196</v>
      </c>
      <c r="I38" s="621"/>
      <c r="J38" s="221">
        <f t="shared" ref="J38" si="58">C37*E38*F37*H38/1000000*I37</f>
        <v>5.1655019478353976</v>
      </c>
      <c r="K38" s="391">
        <f>9.45345681/G37-0.14325844*G37+0.00124097*G37^2+5.98054622</f>
        <v>4.0379208647882354</v>
      </c>
      <c r="L38" s="621"/>
      <c r="M38" s="221">
        <f>C37*E38*F37*K38/1000000*L37</f>
        <v>2051.5681668848251</v>
      </c>
      <c r="N38" s="391">
        <f>0.6037810576/G37-0.0052863845*G37+0.0000423961*G37^2+0.3189943526</f>
        <v>0.25839278044266667</v>
      </c>
      <c r="O38" s="621"/>
      <c r="P38" s="221">
        <f>C37*E38*F37*N38/1000000*O37</f>
        <v>529.7980393869891</v>
      </c>
      <c r="Q38" s="392">
        <f>1.5469182952/G37-0.0051393982*G37+0.0000404677*G37^2+0.2460289003</f>
        <v>0.23385554324807839</v>
      </c>
      <c r="R38" s="659"/>
      <c r="S38" s="100">
        <f t="shared" ref="S38" si="59">C37*E38*F37*Q38/1000000*R37</f>
        <v>960.02061860108097</v>
      </c>
      <c r="T38" s="665"/>
      <c r="U38" s="665"/>
      <c r="V38" s="665"/>
      <c r="W38" s="666"/>
    </row>
    <row r="39" spans="1:23" ht="17.25">
      <c r="A39" s="541"/>
      <c r="B39" s="540" t="s">
        <v>358</v>
      </c>
      <c r="C39" s="553">
        <f>'ｼｰﾄNO.3（表-3）59頁'!$F$30</f>
        <v>9</v>
      </c>
      <c r="D39" s="138" t="s">
        <v>65</v>
      </c>
      <c r="E39" s="292">
        <f>'ｼｰﾄNO.4（表-4）60頁'!G41</f>
        <v>143.44999999999999</v>
      </c>
      <c r="F39" s="543">
        <f>'ｼｰﾄNO.4（表-4）60頁'!C41/1000</f>
        <v>0.84799999999999998</v>
      </c>
      <c r="G39" s="543">
        <f>F39/('ｼｰﾄNO.4（表-4）60頁'!D41/3600)</f>
        <v>19.952941176470585</v>
      </c>
      <c r="H39" s="219">
        <f>-2.71095565/G39-0.09453616*G39+0.00089493*G39^2+3.15403637</f>
        <v>1.488183867538571</v>
      </c>
      <c r="I39" s="620">
        <v>6000</v>
      </c>
      <c r="J39" s="99">
        <f t="shared" ref="J39" si="60">C39*E39*F39*H39/1000000*I39</f>
        <v>9.7756750517606985</v>
      </c>
      <c r="K39" s="390">
        <f>-0.25063622/G39-0.00657231*G39+0.00005332*G39^2+0.29056757</f>
        <v>0.16809703903852097</v>
      </c>
      <c r="L39" s="620">
        <v>1364600</v>
      </c>
      <c r="M39" s="99">
        <f>C39*E39*F39*K39/1000000*L39</f>
        <v>251.13332388419053</v>
      </c>
      <c r="N39" s="390">
        <f>0.093055673/G39-0.0002682273*G39+0.00000218*G39^2+0.0173678037</f>
        <v>1.7547538655790708E-2</v>
      </c>
      <c r="O39" s="620">
        <v>5506900</v>
      </c>
      <c r="P39" s="99">
        <f>C39*E39*F39*N39/1000000*O39</f>
        <v>105.79431045311111</v>
      </c>
      <c r="Q39" s="390">
        <f>0.0505593958/G39-0.000357176*G39+0.0000031505*G39^2+0.0131649024</f>
        <v>9.8263992891985206E-3</v>
      </c>
      <c r="R39" s="658">
        <v>11025800</v>
      </c>
      <c r="S39" s="393">
        <f t="shared" ref="S39" si="61">C39*E39*F39*Q39/1000000*R39</f>
        <v>118.6160430387569</v>
      </c>
      <c r="T39" s="665"/>
      <c r="U39" s="665"/>
      <c r="V39" s="665"/>
      <c r="W39" s="666"/>
    </row>
    <row r="40" spans="1:23" ht="17.25">
      <c r="A40" s="541"/>
      <c r="B40" s="542"/>
      <c r="C40" s="566"/>
      <c r="D40" s="139" t="s">
        <v>66</v>
      </c>
      <c r="E40" s="295">
        <f>'ｼｰﾄNO.4（表-4）60頁'!G42</f>
        <v>7.5500000000000007</v>
      </c>
      <c r="F40" s="544"/>
      <c r="G40" s="544"/>
      <c r="H40" s="218">
        <f>12.28697452/G39-0.05907844*G39+0.00051753*G39^2+2.69979197</f>
        <v>2.3428399655264318</v>
      </c>
      <c r="I40" s="621"/>
      <c r="J40" s="221">
        <f t="shared" ref="J40" si="62">C39*E40*F39*H40/1000000*I39</f>
        <v>0.80998912414546709</v>
      </c>
      <c r="K40" s="391">
        <f>9.45345681/G39-0.14325844*G39+0.00124097*G39^2+5.98054622</f>
        <v>4.0899614332216476</v>
      </c>
      <c r="L40" s="621"/>
      <c r="M40" s="221">
        <f>C39*E40*F39*K40/1000000*L39</f>
        <v>321.59544809982771</v>
      </c>
      <c r="N40" s="391">
        <f>0.6037810576/G39-0.0052863845*G39+0.0000423961*G39^2+0.3189943526</f>
        <v>0.2606544165757369</v>
      </c>
      <c r="O40" s="621"/>
      <c r="P40" s="221">
        <f>C39*E40*F39*N40/1000000*O39</f>
        <v>82.709918255140764</v>
      </c>
      <c r="Q40" s="392">
        <f>1.5469182952/G39-0.0051393982*G39+0.0000404677*G39^2+0.2460289003</f>
        <v>0.23712211982615847</v>
      </c>
      <c r="R40" s="659"/>
      <c r="S40" s="300">
        <f t="shared" ref="S40" si="63">C39*E40*F39*Q40/1000000*R39</f>
        <v>150.6494299207709</v>
      </c>
      <c r="T40" s="665"/>
      <c r="U40" s="665"/>
      <c r="V40" s="665"/>
      <c r="W40" s="666"/>
    </row>
    <row r="41" spans="1:23" ht="17.25">
      <c r="A41" s="541"/>
      <c r="B41" s="540" t="s">
        <v>359</v>
      </c>
      <c r="C41" s="553">
        <f>'ｼｰﾄNO.3（表-3）59頁'!$F$30</f>
        <v>9</v>
      </c>
      <c r="D41" s="138" t="s">
        <v>65</v>
      </c>
      <c r="E41" s="294">
        <f>'ｼｰﾄNO.4（表-4）60頁'!G43</f>
        <v>165.29999999999998</v>
      </c>
      <c r="F41" s="543">
        <f>'ｼｰﾄNO.4（表-4）60頁'!C43/1000</f>
        <v>0.91</v>
      </c>
      <c r="G41" s="543">
        <f>F41/('ｼｰﾄNO.4（表-4）60頁'!D43/3600)</f>
        <v>19.384615384615387</v>
      </c>
      <c r="H41" s="219">
        <f>-2.71095565/G41-0.09453616*G41+0.00089493*G41^2+3.15403637</f>
        <v>1.5179202440037101</v>
      </c>
      <c r="I41" s="620">
        <v>6000</v>
      </c>
      <c r="J41" s="99">
        <f t="shared" ref="J41" si="64">C41*E41*F41*H41/1000000*I41</f>
        <v>12.329826310643581</v>
      </c>
      <c r="K41" s="390">
        <f>-0.25063622/G41-0.00657231*G41+0.00005332*G41^2+0.29056757</f>
        <v>0.17027192207335401</v>
      </c>
      <c r="L41" s="620">
        <v>1364600</v>
      </c>
      <c r="M41" s="99">
        <f>C41*E41*F41*K41/1000000*L41</f>
        <v>314.56120568068042</v>
      </c>
      <c r="N41" s="390">
        <f>0.093055673/G41-0.0002682273*G41+0.00000218*G41^2+0.0173678037</f>
        <v>1.778797574497511E-2</v>
      </c>
      <c r="O41" s="620">
        <v>5506900</v>
      </c>
      <c r="P41" s="99">
        <f>C41*E41*F41*N41/1000000*O41</f>
        <v>132.61433569052403</v>
      </c>
      <c r="Q41" s="390">
        <f>0.0505593958/G41-0.000357176*G41+0.0000031505*G41^2+0.0131649024</f>
        <v>1.003324813411759E-2</v>
      </c>
      <c r="R41" s="658">
        <v>11025800</v>
      </c>
      <c r="S41" s="99">
        <f t="shared" ref="S41" si="65">C41*E41*F41*Q41/1000000*R41</f>
        <v>149.76434062792163</v>
      </c>
      <c r="T41" s="665"/>
      <c r="U41" s="665"/>
      <c r="V41" s="665"/>
      <c r="W41" s="666"/>
    </row>
    <row r="42" spans="1:23" ht="17.25">
      <c r="A42" s="541"/>
      <c r="B42" s="542"/>
      <c r="C42" s="566"/>
      <c r="D42" s="139" t="s">
        <v>66</v>
      </c>
      <c r="E42" s="298">
        <f>'ｼｰﾄNO.4（表-4）60頁'!G44</f>
        <v>8.7000000000000011</v>
      </c>
      <c r="F42" s="544"/>
      <c r="G42" s="544"/>
      <c r="H42" s="218">
        <f>12.28697452/G41-0.05907844*G41+0.00051753*G41^2+2.69979197</f>
        <v>2.3828997809279606</v>
      </c>
      <c r="I42" s="621"/>
      <c r="J42" s="221">
        <f t="shared" ref="J42" si="66">C41*E42*F41*H42/1000000*I41</f>
        <v>1.0187325485427601</v>
      </c>
      <c r="K42" s="391">
        <f>9.45345681/G41-0.14325844*G41+0.00124097*G41^2+5.98054622</f>
        <v>4.1575257867899413</v>
      </c>
      <c r="L42" s="621"/>
      <c r="M42" s="221">
        <f>C41*E42*F41*K42/1000000*L41</f>
        <v>404.24389789563173</v>
      </c>
      <c r="N42" s="391">
        <f>0.6037810576/G41-0.0052863845*G41+0.0000423961*G41^2+0.3189943526</f>
        <v>0.26359815682353716</v>
      </c>
      <c r="O42" s="621"/>
      <c r="P42" s="221">
        <f>C41*E42*F41*N42/1000000*O41</f>
        <v>103.43147397514146</v>
      </c>
      <c r="Q42" s="392">
        <f>1.5469182952/G41-0.0051393982*G41+0.0000404677*G41^2+0.2460289003</f>
        <v>0.24141126055616605</v>
      </c>
      <c r="R42" s="659"/>
      <c r="S42" s="100">
        <f t="shared" ref="S42" si="67">C41*E42*F41*Q42/1000000*R41</f>
        <v>189.65783496744251</v>
      </c>
      <c r="T42" s="665"/>
      <c r="U42" s="665"/>
      <c r="V42" s="665"/>
      <c r="W42" s="666"/>
    </row>
    <row r="43" spans="1:23" ht="17.25">
      <c r="A43" s="541"/>
      <c r="B43" s="540" t="s">
        <v>360</v>
      </c>
      <c r="C43" s="553">
        <f>'ｼｰﾄNO.3（表-3）59頁'!$F$30</f>
        <v>9</v>
      </c>
      <c r="D43" s="138" t="s">
        <v>65</v>
      </c>
      <c r="E43" s="292">
        <f>'ｼｰﾄNO.4（表-4）60頁'!G45</f>
        <v>45.599999999999994</v>
      </c>
      <c r="F43" s="543">
        <f>'ｼｰﾄNO.4（表-4）60頁'!C45/1000</f>
        <v>0.76100000000000001</v>
      </c>
      <c r="G43" s="543">
        <f>F43/('ｼｰﾄNO.4（表-4）60頁'!D45/3600)</f>
        <v>19.997080291970804</v>
      </c>
      <c r="H43" s="219">
        <f>-2.71095565/G43-0.09453616*G43+0.00089493*G43^2+3.15403637</f>
        <v>1.4858891048555183</v>
      </c>
      <c r="I43" s="620">
        <v>6000</v>
      </c>
      <c r="J43" s="99">
        <f t="shared" ref="J43" si="68">C43*E43*F43*H43/1000000*I43</f>
        <v>2.7843873854969292</v>
      </c>
      <c r="K43" s="390">
        <f>-0.25063622/G43-0.00657231*G43+0.00005332*G43^2+0.29056757</f>
        <v>0.16792869179895592</v>
      </c>
      <c r="L43" s="620">
        <v>1364600</v>
      </c>
      <c r="M43" s="99">
        <f>C43*E43*F43*K43/1000000*L43</f>
        <v>71.568560249548227</v>
      </c>
      <c r="N43" s="390">
        <f>0.093055673/G43-0.0002682273*G43+0.00000218*G43^2+0.0173678037</f>
        <v>1.752924925310758E-2</v>
      </c>
      <c r="O43" s="620">
        <v>5506900</v>
      </c>
      <c r="P43" s="99">
        <f>C43*E43*F43*N43/1000000*O43</f>
        <v>30.148278291185328</v>
      </c>
      <c r="Q43" s="390">
        <f>0.0505593958/G43-0.000357176*G43+0.0000031505*G43^2+0.0131649024</f>
        <v>9.8105962254542121E-3</v>
      </c>
      <c r="R43" s="658">
        <v>11025800</v>
      </c>
      <c r="S43" s="393">
        <f t="shared" ref="S43" si="69">C43*E43*F43*Q43/1000000*R43</f>
        <v>33.782946165968873</v>
      </c>
      <c r="T43" s="665"/>
      <c r="U43" s="665"/>
      <c r="V43" s="665"/>
      <c r="W43" s="666"/>
    </row>
    <row r="44" spans="1:23" ht="17.25">
      <c r="A44" s="541"/>
      <c r="B44" s="542"/>
      <c r="C44" s="566"/>
      <c r="D44" s="139" t="s">
        <v>66</v>
      </c>
      <c r="E44" s="295">
        <f>'ｼｰﾄNO.4（表-4）60頁'!G46</f>
        <v>2.4000000000000004</v>
      </c>
      <c r="F44" s="544"/>
      <c r="G44" s="544"/>
      <c r="H44" s="218">
        <f>12.28697452/G43-0.05907844*G43+0.00051753*G43^2+2.69979197</f>
        <v>2.3397856497877036</v>
      </c>
      <c r="I44" s="621"/>
      <c r="J44" s="221">
        <f t="shared" ref="J44" si="70">C43*E44*F43*H44/1000000*I43</f>
        <v>0.23076276358170214</v>
      </c>
      <c r="K44" s="391">
        <f>9.45345681/G43-0.14325844*G43+0.00124097*G43^2+5.98054622</f>
        <v>4.0847806265028197</v>
      </c>
      <c r="L44" s="621"/>
      <c r="M44" s="221">
        <f>C43*E44*F43*K44/1000000*L43</f>
        <v>91.624688789756263</v>
      </c>
      <c r="N44" s="391">
        <f>0.6037810576/G43-0.0052863845*G43+0.0000423961*G43^2+0.3189943526</f>
        <v>0.26042904697582031</v>
      </c>
      <c r="O44" s="621"/>
      <c r="P44" s="221">
        <f>C43*E44*F43*N44/1000000*O43</f>
        <v>23.574094480801325</v>
      </c>
      <c r="Q44" s="392">
        <f>1.5469182952/G43-0.0051393982*G43+0.0000404677*G43^2+0.2460289003</f>
        <v>0.23679550381545408</v>
      </c>
      <c r="R44" s="659"/>
      <c r="S44" s="300">
        <f t="shared" ref="S44" si="71">C43*E44*F43*Q44/1000000*R43</f>
        <v>42.916270132842719</v>
      </c>
      <c r="T44" s="665"/>
      <c r="U44" s="665"/>
      <c r="V44" s="665"/>
      <c r="W44" s="666"/>
    </row>
    <row r="45" spans="1:23" ht="17.25">
      <c r="A45" s="541"/>
      <c r="B45" s="540" t="s">
        <v>378</v>
      </c>
      <c r="C45" s="553">
        <f>'ｼｰﾄNO.3（表-3）59頁'!$F$30</f>
        <v>9</v>
      </c>
      <c r="D45" s="138" t="s">
        <v>65</v>
      </c>
      <c r="E45" s="294">
        <f>'ｼｰﾄNO.4（表-4）60頁'!G47</f>
        <v>162.44999999999999</v>
      </c>
      <c r="F45" s="543">
        <f>'ｼｰﾄNO.4（表-4）60頁'!C47/1000</f>
        <v>0.84799999999999998</v>
      </c>
      <c r="G45" s="543">
        <f>F45/('ｼｰﾄNO.4（表-4）60頁'!D47/3600)</f>
        <v>29.63883495145631</v>
      </c>
      <c r="H45" s="219">
        <f>-2.71095565/G45-0.09453616*G45+0.00089493*G45^2+3.15403637</f>
        <v>1.046789078981619</v>
      </c>
      <c r="I45" s="620">
        <v>6000</v>
      </c>
      <c r="J45" s="99">
        <f t="shared" ref="J45" si="72">C45*E45*F45*H45/1000000*I45</f>
        <v>7.7869701662427868</v>
      </c>
      <c r="K45" s="390">
        <f>-0.25063622/G45-0.00657231*G45+0.00005332*G45^2+0.29056757</f>
        <v>0.13415512929699225</v>
      </c>
      <c r="L45" s="620">
        <v>1364600</v>
      </c>
      <c r="M45" s="99">
        <f>C45*E45*F45*K45/1000000*L45</f>
        <v>226.97118573891569</v>
      </c>
      <c r="N45" s="390">
        <f>0.093055673/G45-0.0002682273*G45+0.00000218*G45^2+0.0173678037</f>
        <v>1.4472556534503201E-2</v>
      </c>
      <c r="O45" s="620">
        <v>5506900</v>
      </c>
      <c r="P45" s="99">
        <f>C45*E45*F45*N45/1000000*O45</f>
        <v>98.812189434862134</v>
      </c>
      <c r="Q45" s="390">
        <f>0.0505593958/G45-0.000357176*G45+0.0000031505*G45^2+0.0131649024</f>
        <v>7.0520614456259286E-3</v>
      </c>
      <c r="R45" s="658">
        <v>11025800</v>
      </c>
      <c r="S45" s="99">
        <f t="shared" ref="S45" si="73">C45*E45*F45*Q45/1000000*R45</f>
        <v>96.401607429279906</v>
      </c>
      <c r="T45" s="665"/>
      <c r="U45" s="665"/>
      <c r="V45" s="665"/>
      <c r="W45" s="666"/>
    </row>
    <row r="46" spans="1:23" ht="17.25">
      <c r="A46" s="541"/>
      <c r="B46" s="542"/>
      <c r="C46" s="566"/>
      <c r="D46" s="139" t="s">
        <v>66</v>
      </c>
      <c r="E46" s="298">
        <f>'ｼｰﾄNO.4（表-4）60頁'!G48</f>
        <v>8.5500000000000007</v>
      </c>
      <c r="F46" s="544"/>
      <c r="G46" s="544"/>
      <c r="H46" s="218">
        <f>12.28697452/G45-0.05907844*G45+0.00051753*G45^2+2.69979197</f>
        <v>1.8179621152766519</v>
      </c>
      <c r="I46" s="621"/>
      <c r="J46" s="221">
        <f t="shared" ref="J46" si="74">C45*E46*F45*H46/1000000*I45</f>
        <v>0.71177143611249927</v>
      </c>
      <c r="K46" s="391">
        <f>9.45345681/G45-0.14325844*G45+0.00124097*G45^2+5.98054622</f>
        <v>3.1436312088836642</v>
      </c>
      <c r="L46" s="621"/>
      <c r="M46" s="221">
        <f>C45*E46*F45*K46/1000000*L45</f>
        <v>279.92483766061429</v>
      </c>
      <c r="N46" s="391">
        <f>0.6037810576/G45-0.0052863845*G45+0.0000423961*G45^2+0.3189943526</f>
        <v>0.21992665745122206</v>
      </c>
      <c r="O46" s="621"/>
      <c r="P46" s="221">
        <f>C45*E46*F45*N46/1000000*O45</f>
        <v>79.029555682953998</v>
      </c>
      <c r="Q46" s="392">
        <f>1.5469182952/G45-0.0051393982*G45+0.0000404677*G45^2+0.2460289003</f>
        <v>0.18144468017139118</v>
      </c>
      <c r="R46" s="659"/>
      <c r="S46" s="100">
        <f t="shared" ref="S46" si="75">C45*E46*F45*Q46/1000000*R45</f>
        <v>130.54457430176723</v>
      </c>
      <c r="T46" s="665"/>
      <c r="U46" s="665"/>
      <c r="V46" s="665"/>
      <c r="W46" s="666"/>
    </row>
    <row r="47" spans="1:23" ht="17.25">
      <c r="A47" s="541"/>
      <c r="B47" s="540" t="s">
        <v>379</v>
      </c>
      <c r="C47" s="553">
        <f>'ｼｰﾄNO.3（表-3）59頁'!$F$30</f>
        <v>9</v>
      </c>
      <c r="D47" s="138" t="s">
        <v>65</v>
      </c>
      <c r="E47" s="292">
        <f>'ｼｰﾄNO.4（表-4）60頁'!G49</f>
        <v>749.55</v>
      </c>
      <c r="F47" s="543">
        <f>'ｼｰﾄNO.4（表-4）60頁'!C49/1000</f>
        <v>0.61699999999999999</v>
      </c>
      <c r="G47" s="543">
        <f>F47/('ｼｰﾄNO.4（表-4）60頁'!D49/3600)</f>
        <v>26.131764705882354</v>
      </c>
      <c r="H47" s="219">
        <f>-2.71095565/G47-0.09453616*G47+0.00089493*G47^2+3.15403637</f>
        <v>1.1910179733605875</v>
      </c>
      <c r="I47" s="620">
        <v>6000</v>
      </c>
      <c r="J47" s="99">
        <f t="shared" ref="J47" si="76">C47*E47*F47*H47/1000000*I47</f>
        <v>29.743895575744649</v>
      </c>
      <c r="K47" s="390">
        <f>-0.25063622/G47-0.00657231*G47+0.00005332*G47^2+0.29056757</f>
        <v>0.14564084594972018</v>
      </c>
      <c r="L47" s="620">
        <v>1364600</v>
      </c>
      <c r="M47" s="99">
        <f>C47*E47*F47*K47/1000000*L47</f>
        <v>827.2120301973157</v>
      </c>
      <c r="N47" s="390">
        <f>0.093055673/G47-0.0002682273*G47+0.00000218*G47^2+0.0173678037</f>
        <v>1.5408223265116677E-2</v>
      </c>
      <c r="O47" s="620">
        <v>5506900</v>
      </c>
      <c r="P47" s="99">
        <f>C47*E47*F47*N47/1000000*O47</f>
        <v>353.17343950131993</v>
      </c>
      <c r="Q47" s="390">
        <f>0.0505593958/G47-0.000357176*G47+0.0000031505*G47^2+0.0131649024</f>
        <v>7.917429284222427E-3</v>
      </c>
      <c r="R47" s="658">
        <v>11025800</v>
      </c>
      <c r="S47" s="393">
        <f t="shared" ref="S47" si="77">C47*E47*F47*Q47/1000000*R47</f>
        <v>363.34784226818033</v>
      </c>
      <c r="T47" s="665"/>
      <c r="U47" s="665"/>
      <c r="V47" s="665"/>
      <c r="W47" s="666"/>
    </row>
    <row r="48" spans="1:23" ht="17.25">
      <c r="A48" s="541"/>
      <c r="B48" s="542"/>
      <c r="C48" s="566"/>
      <c r="D48" s="139" t="s">
        <v>66</v>
      </c>
      <c r="E48" s="295">
        <f>'ｼｰﾄNO.4（表-4）60頁'!G50</f>
        <v>39.450000000000003</v>
      </c>
      <c r="F48" s="544"/>
      <c r="G48" s="544"/>
      <c r="H48" s="218">
        <f>12.28697452/G47-0.05907844*G47+0.00051753*G47^2+2.69979197</f>
        <v>1.9795664000408051</v>
      </c>
      <c r="I48" s="621"/>
      <c r="J48" s="221">
        <f t="shared" ref="J48" si="78">C47*E48*F47*H48/1000000*I47</f>
        <v>2.601932376338274</v>
      </c>
      <c r="K48" s="391">
        <f>9.45345681/G47-0.14325844*G47+0.00124097*G47^2+5.98054622</f>
        <v>3.4461316069828696</v>
      </c>
      <c r="L48" s="621"/>
      <c r="M48" s="221">
        <f>C47*E48*F47*K48/1000000*L47</f>
        <v>1030.1771364345725</v>
      </c>
      <c r="N48" s="391">
        <f>0.6037810576/G47-0.0052863845*G47+0.0000423961*G47^2+0.3189943526</f>
        <v>0.23290803835125132</v>
      </c>
      <c r="O48" s="621"/>
      <c r="P48" s="221">
        <f>C47*E48*F47*N48/1000000*O47</f>
        <v>280.97413882488553</v>
      </c>
      <c r="Q48" s="392">
        <f>1.5469182952/G47-0.0051393982*G47+0.0000404677*G47^2+0.2460289003</f>
        <v>0.19855835410889849</v>
      </c>
      <c r="R48" s="659"/>
      <c r="S48" s="300">
        <f t="shared" ref="S48" si="79">C47*E48*F47*Q48/1000000*R47</f>
        <v>479.5931325412659</v>
      </c>
      <c r="T48" s="665"/>
      <c r="U48" s="665"/>
      <c r="V48" s="665"/>
      <c r="W48" s="666"/>
    </row>
    <row r="49" spans="1:23" ht="17.25">
      <c r="A49" s="541"/>
      <c r="B49" s="540" t="s">
        <v>255</v>
      </c>
      <c r="C49" s="553">
        <f>'ｼｰﾄNO.3（表-3）59頁'!$F$30</f>
        <v>9</v>
      </c>
      <c r="D49" s="138" t="s">
        <v>65</v>
      </c>
      <c r="E49" s="294">
        <f>'ｼｰﾄNO.4（表-4）60頁'!G51</f>
        <v>144.4</v>
      </c>
      <c r="F49" s="543">
        <f>'ｼｰﾄNO.4（表-4）60頁'!C51/1000</f>
        <v>0.82399999999999995</v>
      </c>
      <c r="G49" s="543">
        <f>F49/('ｼｰﾄNO.4（表-4）60頁'!D51/3600)</f>
        <v>26.967272727272725</v>
      </c>
      <c r="H49" s="219">
        <f>-2.71095565/G49-0.09453616*G49+0.00089493*G49^2+3.15403637</f>
        <v>1.1549496873745426</v>
      </c>
      <c r="I49" s="620">
        <v>6000</v>
      </c>
      <c r="J49" s="99">
        <f t="shared" ref="J49" si="80">C49*E49*F49*H49/1000000*I49</f>
        <v>7.4208086021919089</v>
      </c>
      <c r="K49" s="390">
        <f>-0.25063622/G49-0.00657231*G49+0.00005332*G49^2+0.29056757</f>
        <v>0.14281231138487471</v>
      </c>
      <c r="L49" s="620">
        <v>1364600</v>
      </c>
      <c r="M49" s="99">
        <f>C49*E49*F49*K49/1000000*L49</f>
        <v>208.69302273827881</v>
      </c>
      <c r="N49" s="390">
        <f>0.093055673/G49-0.0002682273*G49+0.00000218*G49^2+0.0173678037</f>
        <v>1.517050368921115E-2</v>
      </c>
      <c r="O49" s="620">
        <v>5506900</v>
      </c>
      <c r="P49" s="99">
        <f>C49*E49*F49*N49/1000000*O49</f>
        <v>89.463133385410302</v>
      </c>
      <c r="Q49" s="390">
        <f>0.0505593958/G49-0.000357176*G49+0.0000031505*G49^2+0.0131649024</f>
        <v>7.698832629539477E-3</v>
      </c>
      <c r="R49" s="658">
        <v>11025800</v>
      </c>
      <c r="S49" s="99">
        <f t="shared" ref="S49" si="81">C49*E49*F49*Q49/1000000*R49</f>
        <v>90.901678613828153</v>
      </c>
      <c r="T49" s="665"/>
      <c r="U49" s="665"/>
      <c r="V49" s="665"/>
      <c r="W49" s="666"/>
    </row>
    <row r="50" spans="1:23" ht="17.25">
      <c r="A50" s="541"/>
      <c r="B50" s="542"/>
      <c r="C50" s="566"/>
      <c r="D50" s="139" t="s">
        <v>66</v>
      </c>
      <c r="E50" s="298">
        <f>'ｼｰﾄNO.4（表-4）60頁'!G52</f>
        <v>7.6000000000000005</v>
      </c>
      <c r="F50" s="544"/>
      <c r="G50" s="544"/>
      <c r="H50" s="218">
        <f>12.28697452/G49-0.05907844*G49+0.00051753*G49^2+2.69979197</f>
        <v>1.9385982774635997</v>
      </c>
      <c r="I50" s="621"/>
      <c r="J50" s="221">
        <f t="shared" ref="J50" si="82">C49*E50*F49*H50/1000000*I49</f>
        <v>0.65557500405055458</v>
      </c>
      <c r="K50" s="391">
        <f>9.45345681/G49-0.14325844*G49+0.00124097*G49^2+5.98054622</f>
        <v>3.3702850674289411</v>
      </c>
      <c r="L50" s="621"/>
      <c r="M50" s="221">
        <f>C49*E50*F49*K50/1000000*L49</f>
        <v>259.21212747544757</v>
      </c>
      <c r="N50" s="391">
        <f>0.6037810576/G49-0.0052863845*G49+0.0000423961*G49^2+0.3189943526</f>
        <v>0.2296562569447077</v>
      </c>
      <c r="O50" s="621"/>
      <c r="P50" s="221">
        <f>C49*E50*F49*N50/1000000*O49</f>
        <v>71.280179682012374</v>
      </c>
      <c r="Q50" s="392">
        <f>1.5469182952/G49-0.0051393982*G49+0.0000404677*G49^2+0.2460289003</f>
        <v>0.19422562742821875</v>
      </c>
      <c r="R50" s="659"/>
      <c r="S50" s="100">
        <f t="shared" ref="S50" si="83">C49*E50*F49*Q50/1000000*R49</f>
        <v>120.69796752321099</v>
      </c>
      <c r="T50" s="665"/>
      <c r="U50" s="665"/>
      <c r="V50" s="665"/>
      <c r="W50" s="666"/>
    </row>
    <row r="51" spans="1:23" ht="17.25">
      <c r="A51" s="541"/>
      <c r="B51" s="540" t="s">
        <v>362</v>
      </c>
      <c r="C51" s="553">
        <f>'ｼｰﾄNO.3（表-3）59頁'!$F$30</f>
        <v>9</v>
      </c>
      <c r="D51" s="138" t="s">
        <v>65</v>
      </c>
      <c r="E51" s="292">
        <f>'ｼｰﾄNO.4（表-4）60頁'!G53</f>
        <v>43.699999999999996</v>
      </c>
      <c r="F51" s="543">
        <f>'ｼｰﾄNO.4（表-4）60頁'!C53/1000</f>
        <v>0.91</v>
      </c>
      <c r="G51" s="543">
        <f>F51/('ｼｰﾄNO.4（表-4）60頁'!D53/3600)</f>
        <v>24.81818181818182</v>
      </c>
      <c r="H51" s="219">
        <f>-2.71095565/G51-0.09453616*G51+0.00089493*G51^2+3.15403637</f>
        <v>1.2498132246792601</v>
      </c>
      <c r="I51" s="620">
        <v>6000</v>
      </c>
      <c r="J51" s="99">
        <f t="shared" ref="J51" si="84">C51*E51*F51*H51/1000000*I51</f>
        <v>2.6838714153142873</v>
      </c>
      <c r="K51" s="390">
        <f>-0.25063622/G51-0.00657231*G51+0.00005332*G51^2+0.29056757</f>
        <v>0.15019792551509098</v>
      </c>
      <c r="L51" s="620">
        <v>1364600</v>
      </c>
      <c r="M51" s="99">
        <f>C51*E51*F51*K51/1000000*L51</f>
        <v>73.355830789877416</v>
      </c>
      <c r="N51" s="390">
        <f>0.093055673/G51-0.0002682273*G51+0.00000218*G51^2+0.0173678037</f>
        <v>1.5803139665982503E-2</v>
      </c>
      <c r="O51" s="620">
        <v>5506900</v>
      </c>
      <c r="P51" s="99">
        <f>C51*E51*F51*N51/1000000*O51</f>
        <v>31.146977365869272</v>
      </c>
      <c r="Q51" s="390">
        <f>0.0505593958/G51-0.000357176*G51+0.0000031505*G51^2+0.0131649024</f>
        <v>8.2781610027396826E-3</v>
      </c>
      <c r="R51" s="658">
        <v>11025800</v>
      </c>
      <c r="S51" s="393">
        <f t="shared" ref="S51" si="85">C51*E51*F51*Q51/1000000*R51</f>
        <v>32.66700492035892</v>
      </c>
      <c r="T51" s="665"/>
      <c r="U51" s="665"/>
      <c r="V51" s="665"/>
      <c r="W51" s="666"/>
    </row>
    <row r="52" spans="1:23" ht="17.25">
      <c r="A52" s="541"/>
      <c r="B52" s="542"/>
      <c r="C52" s="566"/>
      <c r="D52" s="139" t="s">
        <v>66</v>
      </c>
      <c r="E52" s="295">
        <f>'ｼｰﾄNO.4（表-4）60頁'!G54</f>
        <v>2.3000000000000003</v>
      </c>
      <c r="F52" s="544"/>
      <c r="G52" s="544"/>
      <c r="H52" s="218">
        <f>12.28697452/G51-0.05907844*G51+0.00051753*G51^2+2.69979197</f>
        <v>2.047420604207308</v>
      </c>
      <c r="I52" s="621"/>
      <c r="J52" s="221">
        <f t="shared" ref="J52" si="86">C51*E52*F51*H52/1000000*I51</f>
        <v>0.23140357152871838</v>
      </c>
      <c r="K52" s="391">
        <f>9.45345681/G51-0.14325844*G51+0.00124097*G51^2+5.98054622</f>
        <v>3.5704064535918629</v>
      </c>
      <c r="L52" s="621"/>
      <c r="M52" s="221">
        <f>C51*E52*F51*K52/1000000*L51</f>
        <v>91.777191491466539</v>
      </c>
      <c r="N52" s="391">
        <f>0.6037810576/G51-0.0052863845*G51+0.0000423961*G51^2+0.3189943526</f>
        <v>0.23823762033329093</v>
      </c>
      <c r="O52" s="621"/>
      <c r="P52" s="221">
        <f>C51*E52*F51*N52/1000000*O51</f>
        <v>24.713216304374217</v>
      </c>
      <c r="Q52" s="392">
        <f>1.5469182952/G51-0.0051393982*G51+0.0000404677*G51^2+0.2460289003</f>
        <v>0.20573418462828685</v>
      </c>
      <c r="R52" s="659"/>
      <c r="S52" s="300">
        <f t="shared" ref="S52" si="87">C51*E52*F51*Q52/1000000*R51</f>
        <v>42.729548897038192</v>
      </c>
      <c r="T52" s="665"/>
      <c r="U52" s="665"/>
      <c r="V52" s="665"/>
      <c r="W52" s="666"/>
    </row>
    <row r="53" spans="1:23" ht="17.25">
      <c r="A53" s="541"/>
      <c r="B53" s="540" t="s">
        <v>236</v>
      </c>
      <c r="C53" s="553">
        <f>'ｼｰﾄNO.3（表-3）59頁'!$F$30</f>
        <v>9</v>
      </c>
      <c r="D53" s="138" t="s">
        <v>65</v>
      </c>
      <c r="E53" s="294">
        <f>'ｼｰﾄNO.4（表-4）60頁'!G55</f>
        <v>745.75</v>
      </c>
      <c r="F53" s="543">
        <f>'ｼｰﾄNO.4（表-4）60頁'!C55/1000</f>
        <v>0.61699999999999999</v>
      </c>
      <c r="G53" s="543">
        <f>F53/('ｼｰﾄNO.4（表-4）60頁'!D55/3600)</f>
        <v>26.442857142857143</v>
      </c>
      <c r="H53" s="219">
        <f>-2.71095565/G53-0.09453616*G53+0.00089493*G53^2+3.15403637</f>
        <v>1.1774660682172056</v>
      </c>
      <c r="I53" s="620">
        <v>6000</v>
      </c>
      <c r="J53" s="99">
        <f t="shared" ref="J53" si="88">C53*E53*F53*H53/1000000*I53</f>
        <v>29.256379884186977</v>
      </c>
      <c r="K53" s="390">
        <f>-0.25063622/G53-0.00657231*G53+0.00005332*G53^2+0.29056757</f>
        <v>0.14458116706475485</v>
      </c>
      <c r="L53" s="620">
        <v>1364600</v>
      </c>
      <c r="M53" s="99">
        <f>C53*E53*F53*K53/1000000*L53</f>
        <v>817.0300472427748</v>
      </c>
      <c r="N53" s="390">
        <f>0.093055673/G53-0.0002682273*G53+0.00000218*G53^2+0.0173678037</f>
        <v>1.5318540593027376E-2</v>
      </c>
      <c r="O53" s="620">
        <v>5506900</v>
      </c>
      <c r="P53" s="99">
        <f>C53*E53*F53*N53/1000000*O53</f>
        <v>349.33774896626642</v>
      </c>
      <c r="Q53" s="390">
        <f>0.0505593958/G53-0.000357176*G53+0.0000031505*G53^2+0.0131649024</f>
        <v>7.835080547802676E-3</v>
      </c>
      <c r="R53" s="658">
        <v>11025800</v>
      </c>
      <c r="S53" s="99">
        <f t="shared" ref="S53" si="89">C53*E53*F53*Q53/1000000*R53</f>
        <v>357.74577340916755</v>
      </c>
      <c r="T53" s="665"/>
      <c r="U53" s="665"/>
      <c r="V53" s="665"/>
      <c r="W53" s="666"/>
    </row>
    <row r="54" spans="1:23" ht="17.25">
      <c r="A54" s="542"/>
      <c r="B54" s="542"/>
      <c r="C54" s="566"/>
      <c r="D54" s="139" t="s">
        <v>66</v>
      </c>
      <c r="E54" s="298">
        <f>'ｼｰﾄNO.4（表-4）60頁'!G56</f>
        <v>39.25</v>
      </c>
      <c r="F54" s="544"/>
      <c r="G54" s="544"/>
      <c r="H54" s="218">
        <f>12.28697452/G53-0.05907844*G53+0.00051753*G53^2+2.69979197</f>
        <v>1.9641203577708941</v>
      </c>
      <c r="I54" s="621"/>
      <c r="J54" s="221">
        <f t="shared" ref="J54" si="90">C53*E54*F53*H54/1000000*I53</f>
        <v>2.5685420616482681</v>
      </c>
      <c r="K54" s="391">
        <f>9.45345681/G53-0.14325844*G53+0.00124097*G53^2+5.98054622</f>
        <v>3.4176057447057486</v>
      </c>
      <c r="L54" s="621"/>
      <c r="M54" s="221">
        <f>C53*E54*F53*K54/1000000*L53</f>
        <v>1016.4702272313859</v>
      </c>
      <c r="N54" s="391">
        <f>0.6037810576/G53-0.0052863845*G53+0.0000423961*G53^2+0.3189943526</f>
        <v>0.23168506986225051</v>
      </c>
      <c r="O54" s="621"/>
      <c r="P54" s="221">
        <f>C53*E54*F53*N54/1000000*O53</f>
        <v>278.08180442054788</v>
      </c>
      <c r="Q54" s="392">
        <f>1.5469182952/G53-0.0051393982*G53+0.0000404677*G53^2+0.2460289003</f>
        <v>0.19692496479413757</v>
      </c>
      <c r="R54" s="659"/>
      <c r="S54" s="100">
        <f t="shared" ref="S54" si="91">C53*E54*F53*Q54/1000000*R53</f>
        <v>473.23648667469206</v>
      </c>
      <c r="T54" s="617"/>
      <c r="U54" s="617"/>
      <c r="V54" s="617"/>
      <c r="W54" s="666"/>
    </row>
    <row r="55" spans="1:23" ht="13.5" customHeight="1">
      <c r="A55" s="540" t="s">
        <v>975</v>
      </c>
      <c r="B55" s="540" t="s">
        <v>224</v>
      </c>
      <c r="C55" s="553">
        <f>'ｼｰﾄNO.3（表-3）59頁'!$F$30</f>
        <v>9</v>
      </c>
      <c r="D55" s="138" t="s">
        <v>65</v>
      </c>
      <c r="E55" s="292">
        <f>'ｼｰﾄNO.4（表-4）60頁'!G60</f>
        <v>775.19999999999993</v>
      </c>
      <c r="F55" s="543">
        <f>'ｼｰﾄNO.4（表-4）60頁'!C60/1000</f>
        <v>1.054</v>
      </c>
      <c r="G55" s="543">
        <f>F55/('ｼｰﾄNO.4（表-4）60頁'!D60/3600)</f>
        <v>30.3552</v>
      </c>
      <c r="H55" s="219">
        <f>-2.71095565/G55-0.09453616*G55+0.00089493*G55^2+3.15403637</f>
        <v>1.0196872006283328</v>
      </c>
      <c r="I55" s="620">
        <v>6000</v>
      </c>
      <c r="J55" s="99">
        <f>C55*E55*F55*H55/1000000*I55</f>
        <v>44.989907754337892</v>
      </c>
      <c r="K55" s="390">
        <f>-0.25063622/G55-0.00657231*G55+0.00005332*G55^2+0.29056757</f>
        <v>0.13193808816768687</v>
      </c>
      <c r="L55" s="620">
        <v>1364600</v>
      </c>
      <c r="M55" s="99">
        <f>C55*E55*F55*K55/1000000*L55</f>
        <v>1323.9526036041984</v>
      </c>
      <c r="N55" s="390">
        <f>0.093055673/G55-0.0002682273*G55+0.00000218*G55^2+0.0173678037</f>
        <v>1.4300005108880222E-2</v>
      </c>
      <c r="O55" s="620">
        <v>5506900</v>
      </c>
      <c r="P55" s="99">
        <f>C55*E55*F55*N55/1000000*O55</f>
        <v>579.08226866760106</v>
      </c>
      <c r="Q55" s="390">
        <f>0.0505593958/G55-0.000357176*G55+0.0000031505*G55^2+0.0131649024</f>
        <v>6.8913370072785788E-3</v>
      </c>
      <c r="R55" s="658">
        <v>11025800</v>
      </c>
      <c r="S55" s="375">
        <f>C55*E55*F55*Q55/1000000*R55</f>
        <v>558.74092641184404</v>
      </c>
      <c r="T55" s="616">
        <f>SUM(J55:J78)+SUM(M55:M78)+SUM(P55:P78)+SUM(S55:S78)</f>
        <v>22005.116980008082</v>
      </c>
      <c r="U55" s="616">
        <f>'ｼｰﾄNO.3（表-3）59頁'!$F$35</f>
        <v>16</v>
      </c>
      <c r="V55" s="616">
        <f>T55*U55</f>
        <v>352081.87168012932</v>
      </c>
      <c r="W55" s="666"/>
    </row>
    <row r="56" spans="1:23" ht="17.25">
      <c r="A56" s="541"/>
      <c r="B56" s="542"/>
      <c r="C56" s="566"/>
      <c r="D56" s="139" t="s">
        <v>66</v>
      </c>
      <c r="E56" s="295">
        <f>'ｼｰﾄNO.4（表-4）60頁'!G61</f>
        <v>40.800000000000004</v>
      </c>
      <c r="F56" s="544"/>
      <c r="G56" s="544"/>
      <c r="H56" s="218">
        <f>12.28697452/G55-0.05907844*G55+0.00051753*G55^2+2.69979197</f>
        <v>1.7880993041444451</v>
      </c>
      <c r="I56" s="621"/>
      <c r="J56" s="221">
        <f>C55*E56*F55*H56/1000000*I55</f>
        <v>4.1522755677831578</v>
      </c>
      <c r="K56" s="391">
        <f>9.45345681/G55-0.14325844*G55+0.00124097*G55^2+5.98054622</f>
        <v>3.08681266468583</v>
      </c>
      <c r="L56" s="621"/>
      <c r="M56" s="221">
        <f>C55*E56*F55*K56/1000000*L55</f>
        <v>1630.2676988025121</v>
      </c>
      <c r="N56" s="391">
        <f>0.6037810576/G55-0.0052863845*G55+0.0000423961*G55^2+0.3189943526</f>
        <v>0.21748100986125168</v>
      </c>
      <c r="O56" s="621"/>
      <c r="P56" s="221">
        <f>C55*E56*F55*N56/1000000*O55</f>
        <v>463.52356124009509</v>
      </c>
      <c r="Q56" s="392">
        <f>1.5469182952/G55-0.0051393982*G55+0.0000404677*G55^2+0.2460289003</f>
        <v>0.17827049339593087</v>
      </c>
      <c r="R56" s="659"/>
      <c r="S56" s="221">
        <f>C55*E56*F55*Q56/1000000*R55</f>
        <v>760.73405850925406</v>
      </c>
      <c r="T56" s="665"/>
      <c r="U56" s="665"/>
      <c r="V56" s="665"/>
      <c r="W56" s="666"/>
    </row>
    <row r="57" spans="1:23" ht="17.25">
      <c r="A57" s="541"/>
      <c r="B57" s="540" t="s">
        <v>257</v>
      </c>
      <c r="C57" s="553">
        <f>'ｼｰﾄNO.3（表-3）59頁'!$F$30</f>
        <v>9</v>
      </c>
      <c r="D57" s="138" t="s">
        <v>65</v>
      </c>
      <c r="E57" s="294">
        <f>'ｼｰﾄNO.4（表-4）60頁'!G62</f>
        <v>148.19999999999999</v>
      </c>
      <c r="F57" s="543">
        <f>'ｼｰﾄNO.4（表-4）60頁'!C62/1000</f>
        <v>0.76100000000000001</v>
      </c>
      <c r="G57" s="543">
        <f>F57/('ｼｰﾄNO.4（表-4）60頁'!D62/3600)</f>
        <v>27.672727272727272</v>
      </c>
      <c r="H57" s="219">
        <f>-2.71095565/G57-0.09453616*G57+0.00089493*G57^2+3.15403637</f>
        <v>1.1253174555891423</v>
      </c>
      <c r="I57" s="620">
        <v>6000</v>
      </c>
      <c r="J57" s="99">
        <f t="shared" ref="J57" si="92">C57*E57*F57*H57/1000000*I57</f>
        <v>6.8533304960610675</v>
      </c>
      <c r="K57" s="390">
        <f>-0.25063622/G57-0.00657231*G57+0.00005332*G57^2+0.29056757</f>
        <v>0.14046805216606251</v>
      </c>
      <c r="L57" s="620">
        <v>1364600</v>
      </c>
      <c r="M57" s="99">
        <f>C57*E57*F57*K57/1000000*L57</f>
        <v>194.56212322854287</v>
      </c>
      <c r="N57" s="390">
        <f>0.093055673/G57-0.0002682273*G57+0.00000218*G57^2+0.0173678037</f>
        <v>1.4977344248710157E-2</v>
      </c>
      <c r="O57" s="620">
        <v>5506900</v>
      </c>
      <c r="P57" s="99">
        <f>C57*E57*F57*N57/1000000*O57</f>
        <v>83.717716135337838</v>
      </c>
      <c r="Q57" s="390">
        <f>0.0505593958/G57-0.000357176*G57+0.0000031505*G57^2+0.0131649024</f>
        <v>7.5205055443248875E-3</v>
      </c>
      <c r="R57" s="658">
        <v>11025800</v>
      </c>
      <c r="S57" s="394">
        <f t="shared" ref="S57" si="93">C57*E57*F57*Q57/1000000*R57</f>
        <v>84.16519152813926</v>
      </c>
      <c r="T57" s="665"/>
      <c r="U57" s="665"/>
      <c r="V57" s="665"/>
      <c r="W57" s="666"/>
    </row>
    <row r="58" spans="1:23" ht="17.25">
      <c r="A58" s="541"/>
      <c r="B58" s="542"/>
      <c r="C58" s="566"/>
      <c r="D58" s="139" t="s">
        <v>66</v>
      </c>
      <c r="E58" s="298">
        <f>'ｼｰﾄNO.4（表-4）60頁'!G63</f>
        <v>7.8000000000000007</v>
      </c>
      <c r="F58" s="544"/>
      <c r="G58" s="544"/>
      <c r="H58" s="218">
        <f>12.28697452/G57-0.05907844*G57+0.00051753*G57^2+2.69979197</f>
        <v>1.9052546987913122</v>
      </c>
      <c r="I58" s="621"/>
      <c r="J58" s="221">
        <f t="shared" ref="J58" si="94">C57*E58*F57*H58/1000000*I57</f>
        <v>0.61069738541861551</v>
      </c>
      <c r="K58" s="391">
        <f>9.45345681/G57-0.14325844*G57+0.00124097*G57^2+5.98054622</f>
        <v>3.3081206580272831</v>
      </c>
      <c r="L58" s="621"/>
      <c r="M58" s="221">
        <f>C57*E58*F57*K58/1000000*L57</f>
        <v>241.16177803119999</v>
      </c>
      <c r="N58" s="391">
        <f>0.6037810576/G57-0.0052863845*G57+0.0000423961*G57^2+0.3189943526</f>
        <v>0.22699038669656341</v>
      </c>
      <c r="O58" s="621"/>
      <c r="P58" s="221">
        <f>C57*E58*F57*N58/1000000*O57</f>
        <v>66.778463747265974</v>
      </c>
      <c r="Q58" s="392">
        <f>1.5469182952/G57-0.0051393982*G57+0.0000404677*G57^2+0.2460289003</f>
        <v>0.19069754820097537</v>
      </c>
      <c r="R58" s="659"/>
      <c r="S58" s="393">
        <f t="shared" ref="S58" si="95">C57*E58*F57*Q58/1000000*R57</f>
        <v>112.32514520455878</v>
      </c>
      <c r="T58" s="665"/>
      <c r="U58" s="665"/>
      <c r="V58" s="665"/>
      <c r="W58" s="666"/>
    </row>
    <row r="59" spans="1:23" ht="17.25">
      <c r="A59" s="541"/>
      <c r="B59" s="540" t="s">
        <v>355</v>
      </c>
      <c r="C59" s="553">
        <f>'ｼｰﾄNO.3（表-3）59頁'!$F$30</f>
        <v>9</v>
      </c>
      <c r="D59" s="138" t="s">
        <v>65</v>
      </c>
      <c r="E59" s="292">
        <f>'ｼｰﾄNO.4（表-4）60頁'!G64</f>
        <v>38.949999999999996</v>
      </c>
      <c r="F59" s="543">
        <f>'ｼｰﾄNO.4（表-4）60頁'!C64/1000</f>
        <v>0.82399999999999995</v>
      </c>
      <c r="G59" s="543">
        <f>F59/('ｼｰﾄNO.4（表-4）60頁'!D64/3600)</f>
        <v>21.495652173913044</v>
      </c>
      <c r="H59" s="219">
        <f>-2.71095565/G59-0.09453616*G59+0.00089493*G59^2+3.15403637</f>
        <v>1.4093175888998382</v>
      </c>
      <c r="I59" s="620">
        <v>6000</v>
      </c>
      <c r="J59" s="99">
        <f t="shared" ref="J59" si="96">C59*E59*F59*H59/1000000*I59</f>
        <v>2.4425153722200159</v>
      </c>
      <c r="K59" s="390">
        <f>-0.25063622/G59-0.00657231*G59+0.00005332*G59^2+0.29056757</f>
        <v>0.16226882623412497</v>
      </c>
      <c r="L59" s="620">
        <v>1364600</v>
      </c>
      <c r="M59" s="99">
        <f>C59*E59*F59*K59/1000000*L59</f>
        <v>63.961353417143144</v>
      </c>
      <c r="N59" s="390">
        <f>0.093055673/G59-0.0002682273*G59+0.00000218*G59^2+0.0173678037</f>
        <v>1.693842670793911E-2</v>
      </c>
      <c r="O59" s="620">
        <v>5506900</v>
      </c>
      <c r="P59" s="99">
        <f>C59*E59*F59*N59/1000000*O59</f>
        <v>26.943712925972338</v>
      </c>
      <c r="Q59" s="390">
        <f>0.0505593958/G59-0.000357176*G59+0.0000031505*G59^2+0.0131649024</f>
        <v>9.2949764690253012E-3</v>
      </c>
      <c r="R59" s="658">
        <v>11025800</v>
      </c>
      <c r="S59" s="375">
        <f t="shared" ref="S59" si="97">C59*E59*F59*Q59/1000000*R59</f>
        <v>29.602990666411916</v>
      </c>
      <c r="T59" s="665"/>
      <c r="U59" s="665"/>
      <c r="V59" s="665"/>
      <c r="W59" s="666"/>
    </row>
    <row r="60" spans="1:23" ht="17.25">
      <c r="A60" s="541"/>
      <c r="B60" s="542"/>
      <c r="C60" s="566"/>
      <c r="D60" s="139" t="s">
        <v>66</v>
      </c>
      <c r="E60" s="295">
        <f>'ｼｰﾄNO.4（表-4）60頁'!G65</f>
        <v>2.0500000000000003</v>
      </c>
      <c r="F60" s="544"/>
      <c r="G60" s="544"/>
      <c r="H60" s="218">
        <f>12.28697452/G59-0.05907844*G59+0.00051753*G59^2+2.69979197</f>
        <v>2.2405966485023963</v>
      </c>
      <c r="I60" s="621"/>
      <c r="J60" s="221">
        <f t="shared" ref="J60" si="98">C59*E60*F59*H60/1000000*I59</f>
        <v>0.2043800563671134</v>
      </c>
      <c r="K60" s="391">
        <f>9.45345681/G59-0.14325844*G59+0.00124097*G59^2+5.98054622</f>
        <v>3.9143036220954515</v>
      </c>
      <c r="L60" s="621"/>
      <c r="M60" s="221">
        <f>C59*E60*F59*K60/1000000*L59</f>
        <v>81.205128669637688</v>
      </c>
      <c r="N60" s="391">
        <f>0.6037810576/G59-0.0052863845*G59+0.0000423961*G59^2+0.3189943526</f>
        <v>0.25303826200391566</v>
      </c>
      <c r="O60" s="621"/>
      <c r="P60" s="221">
        <f>C59*E60*F59*N60/1000000*O59</f>
        <v>21.184439034380404</v>
      </c>
      <c r="Q60" s="392">
        <f>1.5469182952/G59-0.0051393982*G59+0.0000404677*G59^2+0.2460289003</f>
        <v>0.22621705467840333</v>
      </c>
      <c r="R60" s="659"/>
      <c r="S60" s="221">
        <f t="shared" ref="S60" si="99">C59*E60*F59*Q60/1000000*R59</f>
        <v>37.919188649595853</v>
      </c>
      <c r="T60" s="665"/>
      <c r="U60" s="665"/>
      <c r="V60" s="665"/>
      <c r="W60" s="666"/>
    </row>
    <row r="61" spans="1:23" ht="17.25">
      <c r="A61" s="541"/>
      <c r="B61" s="540" t="s">
        <v>377</v>
      </c>
      <c r="C61" s="553">
        <f>'ｼｰﾄNO.3（表-3）59頁'!$F$30</f>
        <v>9</v>
      </c>
      <c r="D61" s="138" t="s">
        <v>65</v>
      </c>
      <c r="E61" s="294">
        <f>'ｼｰﾄNO.4（表-4）60頁'!G66</f>
        <v>755.25</v>
      </c>
      <c r="F61" s="543">
        <f>'ｼｰﾄNO.4（表-4）60頁'!C66/1000</f>
        <v>1.054</v>
      </c>
      <c r="G61" s="543">
        <f>F61/('ｼｰﾄNO.4（表-4）60頁'!D66/3600)</f>
        <v>28.529323308270676</v>
      </c>
      <c r="H61" s="219">
        <f>-2.71095565/G61-0.09453616*G61+0.00089493*G61^2+3.15403637</f>
        <v>1.0903636882647412</v>
      </c>
      <c r="I61" s="620">
        <v>6000</v>
      </c>
      <c r="J61" s="99">
        <f t="shared" ref="J61" si="100">C61*E61*F61*H61/1000000*I61</f>
        <v>46.870165244283712</v>
      </c>
      <c r="K61" s="390">
        <f>-0.25063622/G61-0.00657231*G61+0.00005332*G61^2+0.29056757</f>
        <v>0.13767713521514519</v>
      </c>
      <c r="L61" s="620">
        <v>1364600</v>
      </c>
      <c r="M61" s="99">
        <f>C61*E61*F61*K61/1000000*L61</f>
        <v>1345.9875469482447</v>
      </c>
      <c r="N61" s="390">
        <f>0.093055673/G61-0.0002682273*G61+0.00000218*G61^2+0.0173678037</f>
        <v>1.4751566279329546E-2</v>
      </c>
      <c r="O61" s="620">
        <v>5506900</v>
      </c>
      <c r="P61" s="99">
        <f>C61*E61*F61*N61/1000000*O61</f>
        <v>581.99490053503973</v>
      </c>
      <c r="Q61" s="390">
        <f>0.0505593958/G61-0.000357176*G61+0.0000031505*G61^2+0.0131649024</f>
        <v>7.3113654898980911E-3</v>
      </c>
      <c r="R61" s="658">
        <v>11025800</v>
      </c>
      <c r="S61" s="394">
        <f t="shared" ref="S61" si="101">C61*E61*F61*Q61/1000000*R61</f>
        <v>577.54051953963165</v>
      </c>
      <c r="T61" s="665"/>
      <c r="U61" s="665"/>
      <c r="V61" s="665"/>
      <c r="W61" s="666"/>
    </row>
    <row r="62" spans="1:23" ht="17.25">
      <c r="A62" s="541"/>
      <c r="B62" s="542"/>
      <c r="C62" s="566"/>
      <c r="D62" s="139" t="s">
        <v>66</v>
      </c>
      <c r="E62" s="298">
        <f>'ｼｰﾄNO.4（表-4）60頁'!G67</f>
        <v>39.75</v>
      </c>
      <c r="F62" s="544"/>
      <c r="G62" s="544"/>
      <c r="H62" s="218">
        <f>12.28697452/G61-0.05907844*G61+0.00051753*G61^2+2.69979197</f>
        <v>1.8662320493584521</v>
      </c>
      <c r="I62" s="621"/>
      <c r="J62" s="221">
        <f t="shared" ref="J62" si="102">C61*E62*F61*H62/1000000*I61</f>
        <v>4.2221839170211046</v>
      </c>
      <c r="K62" s="391">
        <f>9.45345681/G61-0.14325844*G61+0.00124097*G61^2+5.98054622</f>
        <v>3.2348923182010179</v>
      </c>
      <c r="L62" s="621"/>
      <c r="M62" s="221">
        <f>C61*E62*F61*K62/1000000*L61</f>
        <v>1664.5063215291832</v>
      </c>
      <c r="N62" s="391">
        <f>0.6037810576/G61-0.0052863845*G61+0.0000423961*G61^2+0.3189943526</f>
        <v>0.22384803616926019</v>
      </c>
      <c r="O62" s="621"/>
      <c r="P62" s="221">
        <f>C61*E62*F61*N62/1000000*O61</f>
        <v>464.81563944284915</v>
      </c>
      <c r="Q62" s="392">
        <f>1.5469182952/G61-0.0051393982*G61+0.0000404677*G61^2+0.2460289003</f>
        <v>0.18656495693946479</v>
      </c>
      <c r="R62" s="659"/>
      <c r="S62" s="393">
        <f t="shared" ref="S62" si="103">C61*E62*F61*Q62/1000000*R61</f>
        <v>775.64042554943012</v>
      </c>
      <c r="T62" s="665"/>
      <c r="U62" s="665"/>
      <c r="V62" s="665"/>
      <c r="W62" s="666"/>
    </row>
    <row r="63" spans="1:23" ht="17.25">
      <c r="A63" s="541"/>
      <c r="B63" s="540" t="s">
        <v>358</v>
      </c>
      <c r="C63" s="553">
        <f>'ｼｰﾄNO.3（表-3）59頁'!$F$30</f>
        <v>9</v>
      </c>
      <c r="D63" s="138" t="s">
        <v>65</v>
      </c>
      <c r="E63" s="292">
        <f>'ｼｰﾄNO.4（表-4）60頁'!G68</f>
        <v>38.949999999999996</v>
      </c>
      <c r="F63" s="543">
        <f>'ｼｰﾄNO.4（表-4）60頁'!C68/1000</f>
        <v>0.84799999999999998</v>
      </c>
      <c r="G63" s="543">
        <f>F63/('ｼｰﾄNO.4（表-4）60頁'!D68/3600)</f>
        <v>22.953383458646616</v>
      </c>
      <c r="H63" s="219">
        <f>-2.71095565/G63-0.09453616*G63+0.00089493*G63^2+3.15403637</f>
        <v>1.3375054836994751</v>
      </c>
      <c r="I63" s="620">
        <v>6000</v>
      </c>
      <c r="J63" s="99">
        <f t="shared" ref="J63" si="104">C63*E63*F63*H63/1000000*I63</f>
        <v>2.3855726407176099</v>
      </c>
      <c r="K63" s="390">
        <f>-0.25063622/G63-0.00657231*G63+0.00005332*G63^2+0.29056757</f>
        <v>0.15688351852819593</v>
      </c>
      <c r="L63" s="620">
        <v>1364600</v>
      </c>
      <c r="M63" s="99">
        <f>C63*E63*F63*K63/1000000*L63</f>
        <v>63.639756844557908</v>
      </c>
      <c r="N63" s="390">
        <f>0.093055673/G63-0.0002682273*G63+0.00000218*G63^2+0.0173678037</f>
        <v>1.6413745392387758E-2</v>
      </c>
      <c r="O63" s="620">
        <v>5506900</v>
      </c>
      <c r="P63" s="99">
        <f>C63*E63*F63*N63/1000000*O63</f>
        <v>26.869569377737179</v>
      </c>
      <c r="Q63" s="390">
        <f>0.0505593958/G63-0.000357176*G63+0.0000031505*G63^2+0.0131649024</f>
        <v>8.8290692910691464E-3</v>
      </c>
      <c r="R63" s="658">
        <v>11025800</v>
      </c>
      <c r="S63" s="375">
        <f t="shared" ref="S63" si="105">C63*E63*F63*Q63/1000000*R63</f>
        <v>28.938156388175919</v>
      </c>
      <c r="T63" s="665"/>
      <c r="U63" s="665"/>
      <c r="V63" s="665"/>
      <c r="W63" s="666"/>
    </row>
    <row r="64" spans="1:23" ht="17.25">
      <c r="A64" s="541"/>
      <c r="B64" s="542"/>
      <c r="C64" s="566"/>
      <c r="D64" s="139" t="s">
        <v>66</v>
      </c>
      <c r="E64" s="295">
        <f>'ｼｰﾄNO.4（表-4）60頁'!G69</f>
        <v>2.0500000000000003</v>
      </c>
      <c r="F64" s="544"/>
      <c r="G64" s="544"/>
      <c r="H64" s="218">
        <f>12.28697452/G63-0.05907844*G63+0.00051753*G63^2+2.69979197</f>
        <v>2.1517078414008948</v>
      </c>
      <c r="I64" s="621"/>
      <c r="J64" s="221">
        <f t="shared" ref="J64" si="106">C63*E64*F63*H64/1000000*I63</f>
        <v>0.20198856122053105</v>
      </c>
      <c r="K64" s="391">
        <f>9.45345681/G63-0.14325844*G63+0.00124097*G63^2+5.98054622</f>
        <v>3.7579496629585218</v>
      </c>
      <c r="L64" s="621"/>
      <c r="M64" s="221">
        <f>C63*E64*F63*K64/1000000*L63</f>
        <v>80.232171790961246</v>
      </c>
      <c r="N64" s="391">
        <f>0.6037810576/G63-0.0052863845*G63+0.0000423961*G63^2+0.3189943526</f>
        <v>0.24629532334014029</v>
      </c>
      <c r="O64" s="621"/>
      <c r="P64" s="221">
        <f>C63*E64*F63*N64/1000000*O63</f>
        <v>21.220498332642613</v>
      </c>
      <c r="Q64" s="392">
        <f>1.5469182952/G63-0.0051393982*G63+0.0000404677*G63^2+0.2460289003</f>
        <v>0.21677695813225645</v>
      </c>
      <c r="R64" s="659"/>
      <c r="S64" s="221">
        <f t="shared" ref="S64" si="107">C63*E64*F63*Q64/1000000*R63</f>
        <v>37.395164761559123</v>
      </c>
      <c r="T64" s="665"/>
      <c r="U64" s="665"/>
      <c r="V64" s="665"/>
      <c r="W64" s="666"/>
    </row>
    <row r="65" spans="1:23" ht="17.25">
      <c r="A65" s="541"/>
      <c r="B65" s="540" t="s">
        <v>359</v>
      </c>
      <c r="C65" s="553">
        <f>'ｼｰﾄNO.3（表-3）59頁'!$F$30</f>
        <v>9</v>
      </c>
      <c r="D65" s="138" t="s">
        <v>65</v>
      </c>
      <c r="E65" s="294">
        <f>'ｼｰﾄNO.4（表-4）60頁'!G70</f>
        <v>144.4</v>
      </c>
      <c r="F65" s="543">
        <f>'ｼｰﾄNO.4（表-4）60頁'!C70/1000</f>
        <v>0.91</v>
      </c>
      <c r="G65" s="543">
        <f>F65/('ｼｰﾄNO.4（表-4）60頁'!D70/3600)</f>
        <v>27.3</v>
      </c>
      <c r="H65" s="219">
        <f>-2.71095565/G65-0.09453616*G65+0.00089493*G65^2+3.15403637</f>
        <v>1.1408791769380953</v>
      </c>
      <c r="I65" s="620">
        <v>6000</v>
      </c>
      <c r="J65" s="99">
        <f t="shared" ref="J65" si="108">C65*E65*F65*H65/1000000*I65</f>
        <v>8.0954687177841684</v>
      </c>
      <c r="K65" s="390">
        <f>-0.25063622/G65-0.00657231*G65+0.00005332*G65^2+0.29056757</f>
        <v>0.14170155588058608</v>
      </c>
      <c r="L65" s="620">
        <v>1364600</v>
      </c>
      <c r="M65" s="99">
        <f>C65*E65*F65*K65/1000000*L65</f>
        <v>228.68152554864005</v>
      </c>
      <c r="N65" s="390">
        <f>0.093055673/G65-0.0002682273*G65+0.00000218*G65^2+0.0173678037</f>
        <v>1.5078563320622712E-2</v>
      </c>
      <c r="O65" s="620">
        <v>5506900</v>
      </c>
      <c r="P65" s="99">
        <f>C65*E65*F65*N65/1000000*O65</f>
        <v>98.201528879361419</v>
      </c>
      <c r="Q65" s="390">
        <f>0.0505593958/G65-0.000357176*G65+0.0000031505*G65^2+0.0131649024</f>
        <v>7.6140262651465196E-3</v>
      </c>
      <c r="R65" s="658">
        <v>11025800</v>
      </c>
      <c r="S65" s="394">
        <f t="shared" ref="S65" si="109">C65*E65*F65*Q65/1000000*R65</f>
        <v>99.28315646359161</v>
      </c>
      <c r="T65" s="665"/>
      <c r="U65" s="665"/>
      <c r="V65" s="665"/>
      <c r="W65" s="666"/>
    </row>
    <row r="66" spans="1:23" ht="17.25">
      <c r="A66" s="541"/>
      <c r="B66" s="542"/>
      <c r="C66" s="566"/>
      <c r="D66" s="139" t="s">
        <v>66</v>
      </c>
      <c r="E66" s="298">
        <f>'ｼｰﾄNO.4（表-4）60頁'!G71</f>
        <v>7.6000000000000005</v>
      </c>
      <c r="F66" s="544"/>
      <c r="G66" s="544"/>
      <c r="H66" s="218">
        <f>12.28697452/G65-0.05907844*G65+0.00051753*G65^2+2.69979197</f>
        <v>1.9227328184399268</v>
      </c>
      <c r="I66" s="621"/>
      <c r="J66" s="221">
        <f t="shared" ref="J66" si="110">C65*E66*F65*H66/1000000*I65</f>
        <v>0.71807148930584885</v>
      </c>
      <c r="K66" s="391">
        <f>9.45345681/G65-0.14325844*G65+0.00124097*G65^2+5.98054622</f>
        <v>3.3407538085307693</v>
      </c>
      <c r="L66" s="621"/>
      <c r="M66" s="221">
        <f>C65*E66*F65*K66/1000000*L65</f>
        <v>283.75748952740503</v>
      </c>
      <c r="N66" s="391">
        <f>0.6037810576/G65-0.0052863845*G65+0.0000423961*G65^2+0.3189943526</f>
        <v>0.22838996737541023</v>
      </c>
      <c r="O66" s="621"/>
      <c r="P66" s="221">
        <f>C65*E66*F65*N66/1000000*O65</f>
        <v>78.285567956624973</v>
      </c>
      <c r="Q66" s="392">
        <f>1.5469182952/G65-0.0051393982*G65+0.0000404677*G65^2+0.2460289003</f>
        <v>0.19254717538984978</v>
      </c>
      <c r="R66" s="659"/>
      <c r="S66" s="393">
        <f t="shared" ref="S66" si="111">C65*E66*F65*Q66/1000000*R65</f>
        <v>132.14318081935605</v>
      </c>
      <c r="T66" s="665"/>
      <c r="U66" s="665"/>
      <c r="V66" s="665"/>
      <c r="W66" s="666"/>
    </row>
    <row r="67" spans="1:23" ht="17.25">
      <c r="A67" s="541"/>
      <c r="B67" s="540" t="s">
        <v>360</v>
      </c>
      <c r="C67" s="553">
        <f>'ｼｰﾄNO.3（表-3）59頁'!$F$30</f>
        <v>9</v>
      </c>
      <c r="D67" s="138" t="s">
        <v>65</v>
      </c>
      <c r="E67" s="292">
        <f>'ｼｰﾄNO.4（表-4）60頁'!G72</f>
        <v>44.65</v>
      </c>
      <c r="F67" s="543">
        <f>'ｼｰﾄNO.4（表-4）60頁'!C72/1000</f>
        <v>0.76100000000000001</v>
      </c>
      <c r="G67" s="543">
        <f>F67/('ｼｰﾄNO.4（表-4）60頁'!D72/3600)</f>
        <v>21.916799999999999</v>
      </c>
      <c r="H67" s="219">
        <f>-2.71095565/G67-0.09453616*G67+0.00089493*G67^2+3.15403637</f>
        <v>1.3882893722770886</v>
      </c>
      <c r="I67" s="620">
        <v>6000</v>
      </c>
      <c r="J67" s="99">
        <f t="shared" ref="J67" si="112">C67*E67*F67*H67/1000000*I67</f>
        <v>2.5472987286834359</v>
      </c>
      <c r="K67" s="390">
        <f>-0.25063622/G67-0.00657231*G67+0.00005332*G67^2+0.29056757</f>
        <v>0.16069981784537193</v>
      </c>
      <c r="L67" s="620">
        <v>1364600</v>
      </c>
      <c r="M67" s="99">
        <f>C67*E67*F67*K67/1000000*L67</f>
        <v>67.060900497968518</v>
      </c>
      <c r="N67" s="390">
        <f>0.093055673/G67-0.0002682273*G67+0.00000218*G67^2+0.0173678037</f>
        <v>1.6782134548046151E-2</v>
      </c>
      <c r="O67" s="620">
        <v>5506900</v>
      </c>
      <c r="P67" s="99">
        <f>C67*E67*F67*N67/1000000*O67</f>
        <v>28.26200821356132</v>
      </c>
      <c r="Q67" s="390">
        <f>0.0505593958/G67-0.000357176*G67+0.0000031505*G67^2+0.0131649024</f>
        <v>9.1569564511054108E-3</v>
      </c>
      <c r="R67" s="658">
        <v>11025800</v>
      </c>
      <c r="S67" s="375">
        <f t="shared" ref="S67" si="113">C67*E67*F67*Q67/1000000*R67</f>
        <v>30.87520775787122</v>
      </c>
      <c r="T67" s="665"/>
      <c r="U67" s="665"/>
      <c r="V67" s="665"/>
      <c r="W67" s="666"/>
    </row>
    <row r="68" spans="1:23" ht="17.25">
      <c r="A68" s="541"/>
      <c r="B68" s="542"/>
      <c r="C68" s="566"/>
      <c r="D68" s="139" t="s">
        <v>66</v>
      </c>
      <c r="E68" s="295">
        <f>'ｼｰﾄNO.4（表-4）60頁'!G73</f>
        <v>2.35</v>
      </c>
      <c r="F68" s="544"/>
      <c r="G68" s="544"/>
      <c r="H68" s="218">
        <f>12.28697452/G67-0.05907844*G67+0.00051753*G67^2+2.69979197</f>
        <v>2.2141941457999113</v>
      </c>
      <c r="I68" s="621"/>
      <c r="J68" s="221">
        <f t="shared" ref="J68" si="114">C67*E68*F67*H68/1000000*I67</f>
        <v>0.21382672143462866</v>
      </c>
      <c r="K68" s="391">
        <f>9.45345681/G67-0.14325844*G67+0.00124097*G67^2+5.98054622</f>
        <v>3.8682085778356057</v>
      </c>
      <c r="L68" s="621"/>
      <c r="M68" s="221">
        <f>C67*E68*F67*K68/1000000*L67</f>
        <v>84.959173544050145</v>
      </c>
      <c r="N68" s="391">
        <f>0.6037810576/G67-0.0052863845*G67+0.0000423961*G67^2+0.3189943526</f>
        <v>0.25104730102028711</v>
      </c>
      <c r="O68" s="621"/>
      <c r="P68" s="221">
        <f>C67*E68*F67*N68/1000000*O67</f>
        <v>22.25142226196412</v>
      </c>
      <c r="Q68" s="392">
        <f>1.5469182952/G67-0.0051393982*G67+0.0000404677*G67^2+0.2460289003</f>
        <v>0.22340963456383392</v>
      </c>
      <c r="R68" s="659"/>
      <c r="S68" s="221">
        <f t="shared" ref="S68" si="115">C67*E68*F67*Q68/1000000*R67</f>
        <v>39.646699316008558</v>
      </c>
      <c r="T68" s="665"/>
      <c r="U68" s="665"/>
      <c r="V68" s="665"/>
      <c r="W68" s="666"/>
    </row>
    <row r="69" spans="1:23" ht="17.25">
      <c r="A69" s="541"/>
      <c r="B69" s="540" t="s">
        <v>232</v>
      </c>
      <c r="C69" s="553">
        <f>'ｼｰﾄNO.3（表-3）59頁'!$F$30</f>
        <v>9</v>
      </c>
      <c r="D69" s="138" t="s">
        <v>65</v>
      </c>
      <c r="E69" s="294">
        <f>'ｼｰﾄNO.4（表-4）60頁'!G74</f>
        <v>158.65</v>
      </c>
      <c r="F69" s="543">
        <f>'ｼｰﾄNO.4（表-4）60頁'!C74/1000</f>
        <v>0.84799999999999998</v>
      </c>
      <c r="G69" s="543">
        <f>F69/('ｼｰﾄNO.4（表-4）60頁'!D74/3600)</f>
        <v>28.530841121495325</v>
      </c>
      <c r="H69" s="219">
        <f>-2.71095565/G69-0.09453616*G69+0.00089493*G69^2+3.15403637</f>
        <v>1.0903027620976071</v>
      </c>
      <c r="I69" s="620">
        <v>6000</v>
      </c>
      <c r="J69" s="99">
        <f t="shared" ref="J69" si="116">C69*E69*F69*H69/1000000*I69</f>
        <v>7.920941408605116</v>
      </c>
      <c r="K69" s="390">
        <f>-0.25063622/G69-0.00657231*G69+0.00005332*G69^2+0.29056757</f>
        <v>0.13767224490879842</v>
      </c>
      <c r="L69" s="620">
        <v>1364600</v>
      </c>
      <c r="M69" s="99">
        <f>C69*E69*F69*K69/1000000*L69</f>
        <v>227.47318014816585</v>
      </c>
      <c r="N69" s="390">
        <f>0.093055673/G69-0.0002682273*G69+0.00000218*G69^2+0.0173678037</f>
        <v>1.4751174440693522E-2</v>
      </c>
      <c r="O69" s="620">
        <v>5506900</v>
      </c>
      <c r="P69" s="99">
        <f>C69*E69*F69*N69/1000000*O69</f>
        <v>98.358574770717183</v>
      </c>
      <c r="Q69" s="390">
        <f>0.0505593958/G69-0.000357176*G69+0.0000031505*G69^2+0.0131649024</f>
        <v>7.3110019389373169E-3</v>
      </c>
      <c r="R69" s="658">
        <v>11025800</v>
      </c>
      <c r="S69" s="394">
        <f t="shared" ref="S69" si="117">C69*E69*F69*Q69/1000000*R69</f>
        <v>97.603512623967106</v>
      </c>
      <c r="T69" s="665"/>
      <c r="U69" s="665"/>
      <c r="V69" s="665"/>
      <c r="W69" s="666"/>
    </row>
    <row r="70" spans="1:23" ht="17.25">
      <c r="A70" s="541"/>
      <c r="B70" s="542"/>
      <c r="C70" s="566"/>
      <c r="D70" s="139" t="s">
        <v>66</v>
      </c>
      <c r="E70" s="298">
        <f>'ｼｰﾄNO.4（表-4）60頁'!G75</f>
        <v>8.35</v>
      </c>
      <c r="F70" s="544"/>
      <c r="G70" s="544"/>
      <c r="H70" s="218">
        <f>12.28697452/G69-0.05907844*G69+0.00051753*G69^2+2.69979197</f>
        <v>1.8661642891756698</v>
      </c>
      <c r="I70" s="621"/>
      <c r="J70" s="221">
        <f t="shared" ref="J70" si="118">C69*E70*F69*H70/1000000*I69</f>
        <v>0.71355254933493439</v>
      </c>
      <c r="K70" s="391">
        <f>9.45345681/G69-0.14325844*G69+0.00124097*G69^2+5.98054622</f>
        <v>3.2347647269327133</v>
      </c>
      <c r="L70" s="621"/>
      <c r="M70" s="221">
        <f>C69*E70*F69*K70/1000000*L69</f>
        <v>281.30205373446194</v>
      </c>
      <c r="N70" s="391">
        <f>0.6037810576/G69-0.0052863845*G69+0.0000423961*G69^2+0.3189943526</f>
        <v>0.2238425583309559</v>
      </c>
      <c r="O70" s="621"/>
      <c r="P70" s="221">
        <f>C69*E70*F69*N70/1000000*O69</f>
        <v>78.55515468841125</v>
      </c>
      <c r="Q70" s="392">
        <f>1.5469182952/G69-0.0051393982*G69+0.0000404677*G69^2+0.2460289003</f>
        <v>0.18655777650517016</v>
      </c>
      <c r="R70" s="659"/>
      <c r="S70" s="393">
        <f t="shared" ref="S70" si="119">C69*E70*F69*Q70/1000000*R69</f>
        <v>131.08358324606348</v>
      </c>
      <c r="T70" s="665"/>
      <c r="U70" s="665"/>
      <c r="V70" s="665"/>
      <c r="W70" s="666"/>
    </row>
    <row r="71" spans="1:23" ht="17.25">
      <c r="A71" s="541"/>
      <c r="B71" s="540" t="s">
        <v>233</v>
      </c>
      <c r="C71" s="553">
        <f>'ｼｰﾄNO.3（表-3）59頁'!$F$30</f>
        <v>9</v>
      </c>
      <c r="D71" s="138" t="s">
        <v>65</v>
      </c>
      <c r="E71" s="292">
        <f>'ｼｰﾄNO.4（表-4）60頁'!G76</f>
        <v>747.65</v>
      </c>
      <c r="F71" s="543">
        <f>'ｼｰﾄNO.4（表-4）60頁'!C76/1000</f>
        <v>0.61699999999999999</v>
      </c>
      <c r="G71" s="543">
        <f>F71/('ｼｰﾄNO.4（表-4）60頁'!D76/3600)</f>
        <v>26.131764705882354</v>
      </c>
      <c r="H71" s="219">
        <f>-2.71095565/G71-0.09453616*G71+0.00089493*G71^2+3.15403637</f>
        <v>1.1910179733605875</v>
      </c>
      <c r="I71" s="620">
        <v>6000</v>
      </c>
      <c r="J71" s="99">
        <f t="shared" ref="J71" si="120">C71*E71*F71*H71/1000000*I71</f>
        <v>29.668499135755429</v>
      </c>
      <c r="K71" s="390">
        <f>-0.25063622/G71-0.00657231*G71+0.00005332*G71^2+0.29056757</f>
        <v>0.14564084594972018</v>
      </c>
      <c r="L71" s="620">
        <v>1364600</v>
      </c>
      <c r="M71" s="99">
        <f>C71*E71*F71*K71/1000000*L71</f>
        <v>825.11516827032608</v>
      </c>
      <c r="N71" s="390">
        <f>0.093055673/G71-0.0002682273*G71+0.00000218*G71^2+0.0173678037</f>
        <v>1.5408223265116677E-2</v>
      </c>
      <c r="O71" s="620">
        <v>5506900</v>
      </c>
      <c r="P71" s="99">
        <f>C71*E71*F71*N71/1000000*O71</f>
        <v>352.27819630866753</v>
      </c>
      <c r="Q71" s="390">
        <f>0.0505593958/G71-0.000357176*G71+0.0000031505*G71^2+0.0131649024</f>
        <v>7.917429284222427E-3</v>
      </c>
      <c r="R71" s="658">
        <v>11025800</v>
      </c>
      <c r="S71" s="375">
        <f t="shared" ref="S71" si="121">C71*E71*F71*Q71/1000000*R71</f>
        <v>362.42680844747508</v>
      </c>
      <c r="T71" s="665"/>
      <c r="U71" s="665"/>
      <c r="V71" s="665"/>
      <c r="W71" s="666"/>
    </row>
    <row r="72" spans="1:23" ht="17.25">
      <c r="A72" s="541"/>
      <c r="B72" s="542"/>
      <c r="C72" s="566"/>
      <c r="D72" s="139" t="s">
        <v>66</v>
      </c>
      <c r="E72" s="295">
        <f>'ｼｰﾄNO.4（表-4）60頁'!G77</f>
        <v>39.35</v>
      </c>
      <c r="F72" s="544"/>
      <c r="G72" s="544"/>
      <c r="H72" s="218">
        <f>12.28697452/G71-0.05907844*G71+0.00051753*G71^2+2.69979197</f>
        <v>1.9795664000408051</v>
      </c>
      <c r="I72" s="621"/>
      <c r="J72" s="221">
        <f t="shared" ref="J72" si="122">C71*E72*F71*H72/1000000*I71</f>
        <v>2.5953368570066182</v>
      </c>
      <c r="K72" s="391">
        <f>9.45345681/G71-0.14325844*G71+0.00124097*G71^2+5.98054622</f>
        <v>3.4461316069828696</v>
      </c>
      <c r="L72" s="621"/>
      <c r="M72" s="221">
        <f>C71*E72*F71*K72/1000000*L71</f>
        <v>1027.5657875462718</v>
      </c>
      <c r="N72" s="391">
        <f>0.6037810576/G71-0.0052863845*G71+0.0000423961*G71^2+0.3189943526</f>
        <v>0.23290803835125132</v>
      </c>
      <c r="O72" s="621"/>
      <c r="P72" s="221">
        <f>C71*E72*F71*N72/1000000*O71</f>
        <v>280.26191033610252</v>
      </c>
      <c r="Q72" s="392">
        <f>1.5469182952/G71-0.0051393982*G71+0.0000404677*G71^2+0.2460289003</f>
        <v>0.19855835410889849</v>
      </c>
      <c r="R72" s="659"/>
      <c r="S72" s="221">
        <f t="shared" ref="S72" si="123">C71*E72*F71*Q72/1000000*R71</f>
        <v>478.3774338529484</v>
      </c>
      <c r="T72" s="665"/>
      <c r="U72" s="665"/>
      <c r="V72" s="665"/>
      <c r="W72" s="666"/>
    </row>
    <row r="73" spans="1:23" ht="17.25">
      <c r="A73" s="541"/>
      <c r="B73" s="540" t="s">
        <v>255</v>
      </c>
      <c r="C73" s="553">
        <f>'ｼｰﾄNO.3（表-3）59頁'!$F$30</f>
        <v>9</v>
      </c>
      <c r="D73" s="138" t="s">
        <v>65</v>
      </c>
      <c r="E73" s="294">
        <f>'ｼｰﾄNO.4（表-4）60頁'!G78</f>
        <v>133</v>
      </c>
      <c r="F73" s="543">
        <f>'ｼｰﾄNO.4（表-4）60頁'!C78/1000</f>
        <v>0.82399999999999995</v>
      </c>
      <c r="G73" s="543">
        <f>F73/('ｼｰﾄNO.4（表-4）60頁'!D78/3600)</f>
        <v>27.984905660377358</v>
      </c>
      <c r="H73" s="219">
        <f>-2.71095565/G73-0.09453616*G73+0.00089493*G73^2+3.15403637</f>
        <v>1.1124476388923368</v>
      </c>
      <c r="I73" s="620">
        <v>6000</v>
      </c>
      <c r="J73" s="99">
        <f t="shared" ref="J73" si="124">C73*E73*F73*H73/1000000*I73</f>
        <v>6.5834295286404041</v>
      </c>
      <c r="K73" s="390">
        <f>-0.25063622/G73-0.00657231*G73+0.00005332*G73^2+0.29056757</f>
        <v>0.13944379466769591</v>
      </c>
      <c r="L73" s="620">
        <v>1364600</v>
      </c>
      <c r="M73" s="99">
        <f>C73*E73*F73*K73/1000000*L73</f>
        <v>187.68342565341106</v>
      </c>
      <c r="N73" s="390">
        <f>0.093055673/G73-0.0002682273*G73+0.00000218*G73^2+0.0173678037</f>
        <v>1.4893975252273366E-2</v>
      </c>
      <c r="O73" s="620">
        <v>5506900</v>
      </c>
      <c r="P73" s="99">
        <f>C73*E73*F73*N73/1000000*O73</f>
        <v>80.898259903709658</v>
      </c>
      <c r="Q73" s="390">
        <f>0.0505593958/G73-0.000357176*G73+0.0000031505*G73^2+0.0131649024</f>
        <v>7.4433620409345026E-3</v>
      </c>
      <c r="R73" s="658">
        <v>11025800</v>
      </c>
      <c r="S73" s="394">
        <f t="shared" ref="S73" si="125">C73*E73*F73*Q73/1000000*R73</f>
        <v>80.946973533213168</v>
      </c>
      <c r="T73" s="665"/>
      <c r="U73" s="665"/>
      <c r="V73" s="665"/>
      <c r="W73" s="666"/>
    </row>
    <row r="74" spans="1:23" ht="17.25">
      <c r="A74" s="541"/>
      <c r="B74" s="542"/>
      <c r="C74" s="566"/>
      <c r="D74" s="139" t="s">
        <v>66</v>
      </c>
      <c r="E74" s="298">
        <f>'ｼｰﾄNO.4（表-4）60頁'!G79</f>
        <v>7</v>
      </c>
      <c r="F74" s="544"/>
      <c r="G74" s="544"/>
      <c r="H74" s="218">
        <f>12.28697452/G73-0.05907844*G73+0.00051753*G73^2+2.69979197</f>
        <v>1.890850785723317</v>
      </c>
      <c r="I74" s="621"/>
      <c r="J74" s="221">
        <f t="shared" ref="J74" si="126">C73*E74*F73*H74/1000000*I73</f>
        <v>0.58894707593081308</v>
      </c>
      <c r="K74" s="391">
        <f>9.45345681/G73-0.14325844*G73+0.00124097*G73^2+5.98054622</f>
        <v>3.2811496463454768</v>
      </c>
      <c r="L74" s="621"/>
      <c r="M74" s="221">
        <f>C73*E74*F73*K74/1000000*L73</f>
        <v>232.43373778590649</v>
      </c>
      <c r="N74" s="391">
        <f>0.6037810576/G73-0.0052863845*G73+0.0000423961*G73^2+0.3189943526</f>
        <v>0.22583333649628506</v>
      </c>
      <c r="O74" s="621"/>
      <c r="P74" s="221">
        <f>C73*E74*F73*N74/1000000*O73</f>
        <v>64.559922778206271</v>
      </c>
      <c r="Q74" s="392">
        <f>1.5469182952/G73-0.0051393982*G73+0.0000404677*G73^2+0.2460289003</f>
        <v>0.18917268671140638</v>
      </c>
      <c r="R74" s="659"/>
      <c r="S74" s="393">
        <f t="shared" ref="S74" si="127">C73*E74*F73*Q74/1000000*R73</f>
        <v>108.27702221701192</v>
      </c>
      <c r="T74" s="665"/>
      <c r="U74" s="665"/>
      <c r="V74" s="665"/>
      <c r="W74" s="666"/>
    </row>
    <row r="75" spans="1:23" ht="17.25">
      <c r="A75" s="541"/>
      <c r="B75" s="540" t="s">
        <v>362</v>
      </c>
      <c r="C75" s="553">
        <f>'ｼｰﾄNO.3（表-3）59頁'!$F$30</f>
        <v>9</v>
      </c>
      <c r="D75" s="138" t="s">
        <v>65</v>
      </c>
      <c r="E75" s="292">
        <f>'ｼｰﾄNO.4（表-4）60頁'!G80</f>
        <v>42.75</v>
      </c>
      <c r="F75" s="543">
        <f>'ｼｰﾄNO.4（表-4）60頁'!C80/1000</f>
        <v>0.91</v>
      </c>
      <c r="G75" s="543">
        <f>F75/('ｼｰﾄNO.4（表-4）60頁'!D80/3600)</f>
        <v>25.395348837209301</v>
      </c>
      <c r="H75" s="219">
        <f>-2.71095565/G75-0.09453616*G75+0.00089493*G75^2+3.15403637</f>
        <v>1.2236691288831159</v>
      </c>
      <c r="I75" s="620">
        <v>6000</v>
      </c>
      <c r="J75" s="99">
        <f t="shared" ref="J75" si="128">C75*E75*F75*H75/1000000*I75</f>
        <v>2.5706045674642723</v>
      </c>
      <c r="K75" s="390">
        <f>-0.25063622/G75-0.00657231*G75+0.00005332*G75^2+0.29056757</f>
        <v>0.14817942387383937</v>
      </c>
      <c r="L75" s="620">
        <v>1364600</v>
      </c>
      <c r="M75" s="99">
        <f>C75*E75*F75*K75/1000000*L75</f>
        <v>70.796744827507155</v>
      </c>
      <c r="N75" s="390">
        <f>0.093055673/G75-0.0002682273*G75+0.00000218*G75^2+0.0173678037</f>
        <v>1.5626291771545158E-2</v>
      </c>
      <c r="O75" s="620">
        <v>5506900</v>
      </c>
      <c r="P75" s="99">
        <f>C75*E75*F75*N75/1000000*O75</f>
        <v>30.128890577056911</v>
      </c>
      <c r="Q75" s="390">
        <f>0.0505593958/G75-0.000357176*G75+0.0000031505*G75^2+0.0131649024</f>
        <v>8.1170174938248948E-3</v>
      </c>
      <c r="R75" s="658">
        <v>11025800</v>
      </c>
      <c r="S75" s="375">
        <f t="shared" ref="S75" si="129">C75*E75*F75*Q75/1000000*R75</f>
        <v>31.334777354101806</v>
      </c>
      <c r="T75" s="665"/>
      <c r="U75" s="665"/>
      <c r="V75" s="665"/>
      <c r="W75" s="666"/>
    </row>
    <row r="76" spans="1:23" ht="17.25">
      <c r="A76" s="541"/>
      <c r="B76" s="542"/>
      <c r="C76" s="566"/>
      <c r="D76" s="139" t="s">
        <v>66</v>
      </c>
      <c r="E76" s="295">
        <f>'ｼｰﾄNO.4（表-4）60頁'!G81</f>
        <v>2.25</v>
      </c>
      <c r="F76" s="544"/>
      <c r="G76" s="544"/>
      <c r="H76" s="218">
        <f>12.28697452/G75-0.05907844*G75+0.00051753*G75^2+2.69979197</f>
        <v>2.0170695131761947</v>
      </c>
      <c r="I76" s="621"/>
      <c r="J76" s="221">
        <f t="shared" ref="J76" si="130">C75*E76*F75*H76/1000000*I75</f>
        <v>0.22301729072432599</v>
      </c>
      <c r="K76" s="391">
        <f>9.45345681/G75-0.14325844*G75+0.00124097*G75^2+5.98054622</f>
        <v>3.515030683557745</v>
      </c>
      <c r="L76" s="621"/>
      <c r="M76" s="221">
        <f>C75*E76*F75*K76/1000000*L75</f>
        <v>88.389546821351885</v>
      </c>
      <c r="N76" s="391">
        <f>0.6037810576/G75-0.0052863845*G75+0.0000423961*G75^2+0.3189943526</f>
        <v>0.23586228704262319</v>
      </c>
      <c r="O76" s="621"/>
      <c r="P76" s="221">
        <f>C75*E76*F75*N76/1000000*O75</f>
        <v>23.934927450460567</v>
      </c>
      <c r="Q76" s="392">
        <f>1.5469182952/G75-0.0051393982*G75+0.0000404677*G75^2+0.2460289003</f>
        <v>0.20252412008772686</v>
      </c>
      <c r="R76" s="659"/>
      <c r="S76" s="221">
        <f t="shared" ref="S76" si="131">C75*E76*F75*Q76/1000000*R75</f>
        <v>41.148431393233707</v>
      </c>
      <c r="T76" s="665"/>
      <c r="U76" s="665"/>
      <c r="V76" s="665"/>
      <c r="W76" s="666"/>
    </row>
    <row r="77" spans="1:23" ht="17.25">
      <c r="A77" s="541"/>
      <c r="B77" s="540" t="s">
        <v>236</v>
      </c>
      <c r="C77" s="553">
        <f>'ｼｰﾄNO.3（表-3）59頁'!$F$30</f>
        <v>9</v>
      </c>
      <c r="D77" s="138" t="s">
        <v>65</v>
      </c>
      <c r="E77" s="294">
        <f>'ｼｰﾄNO.4（表-4）60頁'!G82</f>
        <v>752.4</v>
      </c>
      <c r="F77" s="543">
        <f>'ｼｰﾄNO.4（表-4）60頁'!C82/1000</f>
        <v>0.61699999999999999</v>
      </c>
      <c r="G77" s="543">
        <f>F77/('ｼｰﾄNO.4（表-4）60頁'!D82/3600)</f>
        <v>26.76144578313253</v>
      </c>
      <c r="H77" s="219">
        <f>-2.71095565/G77-0.09453616*G77+0.00089493*G77^2+3.15403637</f>
        <v>1.1637377329352296</v>
      </c>
      <c r="I77" s="620">
        <v>6000</v>
      </c>
      <c r="J77" s="99">
        <f t="shared" ref="J77" si="132">C77*E77*F77*H77/1000000*I77</f>
        <v>29.173116532538227</v>
      </c>
      <c r="K77" s="390">
        <f>-0.25063622/G77-0.00657231*G77+0.00005332*G77^2+0.29056757</f>
        <v>0.14350393124052649</v>
      </c>
      <c r="L77" s="620">
        <v>1364600</v>
      </c>
      <c r="M77" s="99">
        <f>C77*E77*F77*K77/1000000*L77</f>
        <v>818.17390870276097</v>
      </c>
      <c r="N77" s="390">
        <f>0.093055673/G77-0.0002682273*G77+0.00000218*G77^2+0.0173678037</f>
        <v>1.5228143722623148E-2</v>
      </c>
      <c r="O77" s="620">
        <v>5506900</v>
      </c>
      <c r="P77" s="99">
        <f>C77*E77*F77*N77/1000000*O77</f>
        <v>350.37298855657406</v>
      </c>
      <c r="Q77" s="390">
        <f>0.0505593958/G77-0.000357176*G77+0.0000031505*G77^2+0.0131649024</f>
        <v>7.7519280106023965E-3</v>
      </c>
      <c r="R77" s="658">
        <v>11025800</v>
      </c>
      <c r="S77" s="394">
        <f t="shared" ref="S77" si="133">C77*E77*F77*Q77/1000000*R77</f>
        <v>357.10530481340169</v>
      </c>
      <c r="T77" s="665"/>
      <c r="U77" s="665"/>
      <c r="V77" s="665"/>
      <c r="W77" s="666"/>
    </row>
    <row r="78" spans="1:23" ht="17.25">
      <c r="A78" s="542"/>
      <c r="B78" s="542"/>
      <c r="C78" s="566"/>
      <c r="D78" s="139" t="s">
        <v>66</v>
      </c>
      <c r="E78" s="298">
        <f>'ｼｰﾄNO.4（表-4）60頁'!G83</f>
        <v>39.6</v>
      </c>
      <c r="F78" s="544"/>
      <c r="G78" s="544"/>
      <c r="H78" s="218">
        <f>12.28697452/G77-0.05907844*G77+0.00051753*G77^2+2.69979197</f>
        <v>1.9485392365792691</v>
      </c>
      <c r="I78" s="621"/>
      <c r="J78" s="221">
        <f t="shared" ref="J78" si="134">C77*E78*F77*H78/1000000*I77</f>
        <v>2.5708886392601844</v>
      </c>
      <c r="K78" s="391">
        <f>9.45345681/G77-0.14325844*G77+0.00124097*G77^2+5.98054622</f>
        <v>3.3887440168377028</v>
      </c>
      <c r="L78" s="621"/>
      <c r="M78" s="221">
        <f>C77*E78*F77*K78/1000000*L77</f>
        <v>1016.8736416382404</v>
      </c>
      <c r="N78" s="391">
        <f>0.6037810576/G77-0.0052863845*G77+0.0000423961*G77^2+0.3189943526</f>
        <v>0.23044768733888976</v>
      </c>
      <c r="O78" s="621"/>
      <c r="P78" s="221">
        <f>C77*E78*F77*N78/1000000*O77</f>
        <v>279.06309316965314</v>
      </c>
      <c r="Q78" s="392">
        <f>1.5469182952/G77-0.0051393982*G77+0.0000404677*G77^2+0.2460289003</f>
        <v>0.19527711642752121</v>
      </c>
      <c r="R78" s="659"/>
      <c r="S78" s="100">
        <f t="shared" ref="S78" si="135">C77*E78*F77*Q78/1000000*R77</f>
        <v>473.46112232069703</v>
      </c>
      <c r="T78" s="617"/>
      <c r="U78" s="617"/>
      <c r="V78" s="617"/>
      <c r="W78" s="666"/>
    </row>
    <row r="79" spans="1:23" ht="13.5" customHeight="1">
      <c r="A79" s="570" t="s">
        <v>976</v>
      </c>
      <c r="B79" s="540" t="s">
        <v>224</v>
      </c>
      <c r="C79" s="553">
        <f>'ｼｰﾄNO.3（表-3）59頁'!$F$30</f>
        <v>9</v>
      </c>
      <c r="D79" s="138" t="s">
        <v>65</v>
      </c>
      <c r="E79" s="294">
        <f>'ｼｰﾄNO.4（表-4）60頁'!S6</f>
        <v>772.34999999999991</v>
      </c>
      <c r="F79" s="543">
        <f>'ｼｰﾄNO.4（表-4）60頁'!O6/1000</f>
        <v>1.054</v>
      </c>
      <c r="G79" s="543">
        <f>F79/('ｼｰﾄNO.4（表-4）60頁'!P6/3600)</f>
        <v>29.643750000000001</v>
      </c>
      <c r="H79" s="219">
        <f>-2.71095565/G79-0.09453616*G79+0.00089493*G79^2+3.15403637</f>
        <v>1.0466003564631281</v>
      </c>
      <c r="I79" s="620">
        <v>6000</v>
      </c>
      <c r="J79" s="99">
        <f>C79*E79*F79*H79/1000000*I79</f>
        <v>46.007581052948531</v>
      </c>
      <c r="K79" s="390">
        <f>-0.25063622/G79-0.00657231*G79+0.00005332*G79^2+0.29056757</f>
        <v>0.13413976437914132</v>
      </c>
      <c r="L79" s="620">
        <v>1364600</v>
      </c>
      <c r="M79" s="99">
        <f>C79*E79*F79*K79/1000000*L79</f>
        <v>1341.0969576596506</v>
      </c>
      <c r="N79" s="390">
        <f>0.093055673/G79-0.0002682273*G79+0.00000218*G79^2+0.0173678037</f>
        <v>1.4471352818974903E-2</v>
      </c>
      <c r="O79" s="620">
        <v>5506900</v>
      </c>
      <c r="P79" s="99">
        <f>C79*E79*F79*N79/1000000*O79</f>
        <v>583.86654776030605</v>
      </c>
      <c r="Q79" s="390">
        <f>0.0505593958/G79-0.000357176*G79+0.0000031505*G79^2+0.0131649024</f>
        <v>7.0509410543262221E-3</v>
      </c>
      <c r="R79" s="658">
        <v>11025800</v>
      </c>
      <c r="S79" s="375">
        <f t="shared" ref="S79" si="136">C79*E79*F79*Q79/1000000*R79</f>
        <v>569.5796516277195</v>
      </c>
      <c r="T79" s="616">
        <f>SUM(J79:J102)+SUM(M79:M102)+SUM(P79:P102)+SUM(S79:S102)</f>
        <v>26477.140747264173</v>
      </c>
      <c r="U79" s="616">
        <f>'ｼｰﾄNO.3（表-3）59頁'!$F$38</f>
        <v>18</v>
      </c>
      <c r="V79" s="616">
        <f>T79*U79</f>
        <v>476588.53345075512</v>
      </c>
      <c r="W79" s="666"/>
    </row>
    <row r="80" spans="1:23" ht="17.25">
      <c r="A80" s="571"/>
      <c r="B80" s="542"/>
      <c r="C80" s="566"/>
      <c r="D80" s="139" t="s">
        <v>66</v>
      </c>
      <c r="E80" s="297">
        <f>'ｼｰﾄNO.4（表-4）60頁'!S7</f>
        <v>40.650000000000006</v>
      </c>
      <c r="F80" s="544"/>
      <c r="G80" s="544"/>
      <c r="H80" s="218">
        <f>12.28697452/G79-0.05907844*G79+0.00051753*G79^2+2.69979197</f>
        <v>1.8177538030136606</v>
      </c>
      <c r="I80" s="621"/>
      <c r="J80" s="221">
        <f>C79*E80*F79*H80/1000000*I79</f>
        <v>4.205619547137033</v>
      </c>
      <c r="K80" s="391">
        <f>9.45345681/G79-0.14325844*G79+0.00124097*G79^2+5.98054622</f>
        <v>3.1432357925564749</v>
      </c>
      <c r="L80" s="621"/>
      <c r="M80" s="221">
        <f>C79*E80*F79*K80/1000000*L79</f>
        <v>1653.96379394012</v>
      </c>
      <c r="N80" s="391">
        <f>0.6037810576/G79-0.0052863845*G79+0.0000423961*G79^2+0.3189943526</f>
        <v>0.21990965021660547</v>
      </c>
      <c r="O80" s="621"/>
      <c r="P80" s="221">
        <f>C79*E80*F79*N80/1000000*O79</f>
        <v>466.97663161180054</v>
      </c>
      <c r="Q80" s="392">
        <f>1.5469182952/G79-0.0051393982*G79+0.0000404677*G79^2+0.2460289003</f>
        <v>0.18142255744628519</v>
      </c>
      <c r="R80" s="659"/>
      <c r="S80" s="393">
        <f t="shared" ref="S80" si="137">C79*E80*F79*Q80/1000000*R79</f>
        <v>771.33860028858635</v>
      </c>
      <c r="T80" s="665"/>
      <c r="U80" s="665"/>
      <c r="V80" s="665"/>
      <c r="W80" s="666"/>
    </row>
    <row r="81" spans="1:23" ht="17.25">
      <c r="A81" s="571"/>
      <c r="B81" s="540" t="s">
        <v>257</v>
      </c>
      <c r="C81" s="553">
        <f>'ｼｰﾄNO.3（表-3）59頁'!$F$30</f>
        <v>9</v>
      </c>
      <c r="D81" s="138" t="s">
        <v>65</v>
      </c>
      <c r="E81" s="294">
        <f>'ｼｰﾄNO.4（表-4）60頁'!S8</f>
        <v>148.19999999999999</v>
      </c>
      <c r="F81" s="543">
        <f>'ｼｰﾄNO.4（表-4）60頁'!O8/1000</f>
        <v>0.76100000000000001</v>
      </c>
      <c r="G81" s="543">
        <f>F81/('ｼｰﾄNO.4（表-4）60頁'!P8/3600)</f>
        <v>27.955102040816328</v>
      </c>
      <c r="H81" s="219">
        <f>-2.71095565/G81-0.09453616*G81+0.00089493*G81^2+3.15403637</f>
        <v>1.1136698404962537</v>
      </c>
      <c r="I81" s="620">
        <v>6000</v>
      </c>
      <c r="J81" s="99">
        <f t="shared" ref="J81" si="138">C81*E81*F81*H81/1000000*I81</f>
        <v>6.7823949966373211</v>
      </c>
      <c r="K81" s="390">
        <f>-0.25063622/G81-0.00657231*G81+0.00005332*G81^2+0.29056757</f>
        <v>0.13954122906549798</v>
      </c>
      <c r="L81" s="620">
        <v>1364600</v>
      </c>
      <c r="M81" s="99">
        <f>C81*E81*F81*K81/1000000*L81</f>
        <v>193.27838171207401</v>
      </c>
      <c r="N81" s="390">
        <f>0.093055673/G81-0.0002682273*G81+0.00000218*G81^2+0.0173678037</f>
        <v>1.4901879955931608E-2</v>
      </c>
      <c r="O81" s="620">
        <v>5506900</v>
      </c>
      <c r="P81" s="99">
        <f>C81*E81*F81*N81/1000000*O81</f>
        <v>83.295899147207066</v>
      </c>
      <c r="Q81" s="390">
        <f>0.0505593958/G81-0.000357176*G81+0.0000031505*G81^2+0.0131649024</f>
        <v>7.450680750222689E-3</v>
      </c>
      <c r="R81" s="658">
        <v>11025800</v>
      </c>
      <c r="S81" s="375">
        <f t="shared" ref="S81" si="139">C81*E81*F81*Q81/1000000*R81</f>
        <v>83.383752416847187</v>
      </c>
      <c r="T81" s="665"/>
      <c r="U81" s="665"/>
      <c r="V81" s="665"/>
      <c r="W81" s="666"/>
    </row>
    <row r="82" spans="1:23" ht="17.25">
      <c r="A82" s="571"/>
      <c r="B82" s="542"/>
      <c r="C82" s="566"/>
      <c r="D82" s="139" t="s">
        <v>66</v>
      </c>
      <c r="E82" s="297">
        <f>'ｼｰﾄNO.4（表-4）60頁'!S9</f>
        <v>7.8000000000000007</v>
      </c>
      <c r="F82" s="544"/>
      <c r="G82" s="544"/>
      <c r="H82" s="218">
        <f>12.28697452/G81-0.05907844*G81+0.00051753*G81^2+2.69979197</f>
        <v>1.8922167930969032</v>
      </c>
      <c r="I82" s="621"/>
      <c r="J82" s="221">
        <f t="shared" ref="J82" si="140">C81*E82*F81*H82/1000000*I81</f>
        <v>0.60651830378508842</v>
      </c>
      <c r="K82" s="391">
        <f>9.45345681/G81-0.14325844*G81+0.00124097*G81^2+5.98054622</f>
        <v>3.2837104457456512</v>
      </c>
      <c r="L82" s="621"/>
      <c r="M82" s="221">
        <f>C81*E82*F81*K82/1000000*L81</f>
        <v>239.38227516401381</v>
      </c>
      <c r="N82" s="391">
        <f>0.6037810576/G81-0.0052863845*G81+0.0000423961*G81^2+0.3189943526</f>
        <v>0.22594320837961243</v>
      </c>
      <c r="O82" s="621"/>
      <c r="P82" s="221">
        <f>C81*E82*F81*N82/1000000*O81</f>
        <v>66.470393611375528</v>
      </c>
      <c r="Q82" s="392">
        <f>1.5469182952/G81-0.0051393982*G81+0.0000404677*G81^2+0.2460289003</f>
        <v>0.18931732307317983</v>
      </c>
      <c r="R82" s="659"/>
      <c r="S82" s="221">
        <f t="shared" ref="S82" si="141">C81*E82*F81*Q82/1000000*R81</f>
        <v>111.51216155921465</v>
      </c>
      <c r="T82" s="665"/>
      <c r="U82" s="665"/>
      <c r="V82" s="665"/>
      <c r="W82" s="666"/>
    </row>
    <row r="83" spans="1:23" ht="17.25">
      <c r="A83" s="571"/>
      <c r="B83" s="540" t="s">
        <v>355</v>
      </c>
      <c r="C83" s="553">
        <f>'ｼｰﾄNO.3（表-3）59頁'!$F$30</f>
        <v>9</v>
      </c>
      <c r="D83" s="138" t="s">
        <v>65</v>
      </c>
      <c r="E83" s="294">
        <f>'ｼｰﾄNO.4（表-4）60頁'!S10</f>
        <v>41.8</v>
      </c>
      <c r="F83" s="543">
        <f>'ｼｰﾄNO.4（表-4）60頁'!O10/1000</f>
        <v>0.82399999999999995</v>
      </c>
      <c r="G83" s="543">
        <f>F83/('ｼｰﾄNO.4（表-4）60頁'!P10/3600)</f>
        <v>27.723364485981307</v>
      </c>
      <c r="H83" s="219">
        <f>-2.71095565/G83-0.09453616*G83+0.00089493*G83^2+3.15403637</f>
        <v>1.1232197139537154</v>
      </c>
      <c r="I83" s="620">
        <v>6000</v>
      </c>
      <c r="J83" s="99">
        <f t="shared" ref="J83" si="142">C83*E83*F83*H83/1000000*I83</f>
        <v>2.0891131875891329</v>
      </c>
      <c r="K83" s="390">
        <f>-0.25063622/G83-0.00657231*G83+0.00005332*G83^2+0.29056757</f>
        <v>0.14030135988860615</v>
      </c>
      <c r="L83" s="620">
        <v>1364600</v>
      </c>
      <c r="M83" s="99">
        <f>C83*E83*F83*K83/1000000*L83</f>
        <v>59.348978769597622</v>
      </c>
      <c r="N83" s="390">
        <f>0.093055673/G83-0.0002682273*G83+0.00000218*G83^2+0.0173678037</f>
        <v>1.4963735021926428E-2</v>
      </c>
      <c r="O83" s="620">
        <v>5506900</v>
      </c>
      <c r="P83" s="99">
        <f>C83*E83*F83*N83/1000000*O83</f>
        <v>25.544252719121662</v>
      </c>
      <c r="Q83" s="390">
        <f>0.0505593958/G83-0.000357176*G83+0.0000031505*G83^2+0.0131649024</f>
        <v>7.5079194912982712E-3</v>
      </c>
      <c r="R83" s="658">
        <v>11025800</v>
      </c>
      <c r="S83" s="394">
        <f t="shared" ref="S83" si="143">C83*E83*F83*Q83/1000000*R83</f>
        <v>25.661126660248758</v>
      </c>
      <c r="T83" s="665"/>
      <c r="U83" s="665"/>
      <c r="V83" s="665"/>
      <c r="W83" s="666"/>
    </row>
    <row r="84" spans="1:23" ht="17.25">
      <c r="A84" s="571"/>
      <c r="B84" s="542"/>
      <c r="C84" s="566"/>
      <c r="D84" s="139" t="s">
        <v>66</v>
      </c>
      <c r="E84" s="297">
        <f>'ｼｰﾄNO.4（表-4）60頁'!S11</f>
        <v>2.2000000000000002</v>
      </c>
      <c r="F84" s="544"/>
      <c r="G84" s="544"/>
      <c r="H84" s="218">
        <f>12.28697452/G83-0.05907844*G83+0.00051753*G83^2+2.69979197</f>
        <v>1.9029038640149443</v>
      </c>
      <c r="I84" s="621"/>
      <c r="J84" s="221">
        <f t="shared" ref="J84" si="144">C83*E84*F83*H84/1000000*I83</f>
        <v>0.18627754273305971</v>
      </c>
      <c r="K84" s="391">
        <f>9.45345681/G83-0.14325844*G83+0.00124097*G83^2+5.98054622</f>
        <v>3.3037235310791822</v>
      </c>
      <c r="L84" s="621"/>
      <c r="M84" s="221">
        <f>C83*E84*F83*K84/1000000*L83</f>
        <v>73.553181996507391</v>
      </c>
      <c r="N84" s="391">
        <f>0.6037810576/G83-0.0052863845*G83+0.0000423961*G83^2+0.3189943526</f>
        <v>0.22680177225902809</v>
      </c>
      <c r="O84" s="621"/>
      <c r="P84" s="221">
        <f>C83*E84*F83*N84/1000000*O83</f>
        <v>20.377271693478573</v>
      </c>
      <c r="Q84" s="392">
        <f>1.5469182952/G83-0.0051393982*G83+0.0000404677*G83^2+0.2460289003</f>
        <v>0.19044871631224602</v>
      </c>
      <c r="R84" s="659"/>
      <c r="S84" s="393">
        <f t="shared" ref="S84" si="145">C83*E84*F83*Q84/1000000*R83</f>
        <v>34.259463849679662</v>
      </c>
      <c r="T84" s="665"/>
      <c r="U84" s="665"/>
      <c r="V84" s="665"/>
      <c r="W84" s="666"/>
    </row>
    <row r="85" spans="1:23" ht="17.25">
      <c r="A85" s="571"/>
      <c r="B85" s="540" t="s">
        <v>356</v>
      </c>
      <c r="C85" s="553">
        <f>'ｼｰﾄNO.3（表-3）59頁'!$F$30</f>
        <v>9</v>
      </c>
      <c r="D85" s="138" t="s">
        <v>65</v>
      </c>
      <c r="E85" s="294">
        <f>'ｼｰﾄNO.4（表-4）60頁'!S12</f>
        <v>753.34999999999991</v>
      </c>
      <c r="F85" s="543">
        <f>'ｼｰﾄNO.4（表-4）60頁'!O12/1000</f>
        <v>1.054</v>
      </c>
      <c r="G85" s="543">
        <f>F85/('ｼｰﾄNO.4（表-4）60頁'!P12/3600)</f>
        <v>11.292857142857143</v>
      </c>
      <c r="H85" s="219">
        <f>-2.71095565/G85-0.09453616*G85+0.00089493*G85^2+3.15403637</f>
        <v>1.9605228865283124</v>
      </c>
      <c r="I85" s="620">
        <v>6000</v>
      </c>
      <c r="J85" s="99">
        <f t="shared" ref="J85" si="146">C85*E85*F85*H85/1000000*I85</f>
        <v>84.062650611276382</v>
      </c>
      <c r="K85" s="390">
        <f>-0.25063622/G85-0.00657231*G85+0.00005332*G85^2+0.29056757</f>
        <v>0.20095301254045878</v>
      </c>
      <c r="L85" s="620">
        <v>1364600</v>
      </c>
      <c r="M85" s="99">
        <f>C85*E85*F85*K85/1000000*L85</f>
        <v>1959.6558173179678</v>
      </c>
      <c r="N85" s="390">
        <f>0.093055673/G85-0.0002682273*G85+0.00000218*G85^2+0.0173678037</f>
        <v>2.2856987564295331E-2</v>
      </c>
      <c r="O85" s="620">
        <v>5506900</v>
      </c>
      <c r="P85" s="99">
        <f>C85*E85*F85*N85/1000000*O85</f>
        <v>899.51020563350096</v>
      </c>
      <c r="Q85" s="390">
        <f>0.0505593958/G85-0.000357176*G85+0.0000031505*G85^2+0.0131649024</f>
        <v>1.4010256629733198E-2</v>
      </c>
      <c r="R85" s="658">
        <v>11025800</v>
      </c>
      <c r="S85" s="375">
        <f t="shared" ref="S85" si="147">C85*E85*F85*Q85/1000000*R85</f>
        <v>1103.9162181181775</v>
      </c>
      <c r="T85" s="665"/>
      <c r="U85" s="665"/>
      <c r="V85" s="665"/>
      <c r="W85" s="666"/>
    </row>
    <row r="86" spans="1:23" ht="17.25">
      <c r="A86" s="571"/>
      <c r="B86" s="542"/>
      <c r="C86" s="566"/>
      <c r="D86" s="139" t="s">
        <v>66</v>
      </c>
      <c r="E86" s="297">
        <f>'ｼｰﾄNO.4（表-4）60頁'!S13</f>
        <v>39.650000000000006</v>
      </c>
      <c r="F86" s="544"/>
      <c r="G86" s="544"/>
      <c r="H86" s="218">
        <f>12.28697452/G85-0.05907844*G85+0.00051753*G85^2+2.69979197</f>
        <v>3.186658109115263</v>
      </c>
      <c r="I86" s="621"/>
      <c r="J86" s="221">
        <f t="shared" ref="J86" si="148">C85*E86*F85*H86/1000000*I85</f>
        <v>7.1913931760077316</v>
      </c>
      <c r="K86" s="391">
        <f>9.45345681/G85-0.14325844*G85+0.00124097*G85^2+5.98054622</f>
        <v>5.3581265672668152</v>
      </c>
      <c r="L86" s="621"/>
      <c r="M86" s="221">
        <f>C85*E86*F85*K86/1000000*L85</f>
        <v>2750.0756899199951</v>
      </c>
      <c r="N86" s="391">
        <f>0.6037810576/G85-0.0052863845*G85+0.0000423961*G85^2+0.3189943526</f>
        <v>0.31816843217057017</v>
      </c>
      <c r="O86" s="621"/>
      <c r="P86" s="221">
        <f>C85*E86*F85*N86/1000000*O85</f>
        <v>659.00785330568294</v>
      </c>
      <c r="Q86" s="392">
        <f>1.5469182952/G85-0.0051393982*G85+0.0000404677*G85^2+0.2460289003</f>
        <v>0.33013321288699538</v>
      </c>
      <c r="R86" s="659"/>
      <c r="S86" s="221">
        <f t="shared" ref="S86" si="149">C85*E86*F85*Q86/1000000*R85</f>
        <v>1369.0699587073473</v>
      </c>
      <c r="T86" s="665"/>
      <c r="U86" s="665"/>
      <c r="V86" s="665"/>
      <c r="W86" s="666"/>
    </row>
    <row r="87" spans="1:23" ht="17.25">
      <c r="A87" s="571"/>
      <c r="B87" s="540" t="s">
        <v>358</v>
      </c>
      <c r="C87" s="553">
        <f>'ｼｰﾄNO.3（表-3）59頁'!$F$30</f>
        <v>9</v>
      </c>
      <c r="D87" s="138" t="s">
        <v>65</v>
      </c>
      <c r="E87" s="294">
        <f>'ｼｰﾄNO.4（表-4）60頁'!S14</f>
        <v>39.9</v>
      </c>
      <c r="F87" s="543">
        <f>'ｼｰﾄNO.4（表-4）60頁'!O14/1000</f>
        <v>0.84799999999999998</v>
      </c>
      <c r="G87" s="543">
        <f>F87/('ｼｰﾄNO.4（表-4）60頁'!P14/3600)</f>
        <v>10.348474576271187</v>
      </c>
      <c r="H87" s="219">
        <f>-2.71095565/G87-0.09453616*G87+0.00089493*G87^2+3.15403637</f>
        <v>2.0096035123492295</v>
      </c>
      <c r="I87" s="620">
        <v>6000</v>
      </c>
      <c r="J87" s="99">
        <f t="shared" ref="J87" si="150">C87*E87*F87*H87/1000000*I87</f>
        <v>3.6717481850960869</v>
      </c>
      <c r="K87" s="390">
        <f>-0.25063622/G87-0.00657231*G87+0.00005332*G87^2+0.29056757</f>
        <v>0.20404464574723524</v>
      </c>
      <c r="L87" s="620">
        <v>1364600</v>
      </c>
      <c r="M87" s="99">
        <f>C87*E87*F87*K87/1000000*L87</f>
        <v>84.789451812779461</v>
      </c>
      <c r="N87" s="390">
        <f>0.093055673/G87-0.0002682273*G87+0.00000218*G87^2+0.0173678037</f>
        <v>2.3817730111812378E-2</v>
      </c>
      <c r="O87" s="620">
        <v>5506900</v>
      </c>
      <c r="P87" s="99">
        <f>C87*E87*F87*N87/1000000*O87</f>
        <v>39.940989265822807</v>
      </c>
      <c r="Q87" s="390">
        <f>0.0505593958/G87-0.000357176*G87+0.0000031505*G87^2+0.0131649024</f>
        <v>1.4691751456668515E-2</v>
      </c>
      <c r="R87" s="658">
        <v>11025800</v>
      </c>
      <c r="S87" s="394">
        <f t="shared" ref="S87" si="151">C87*E87*F87*Q87/1000000*R87</f>
        <v>49.328162776391871</v>
      </c>
      <c r="T87" s="665"/>
      <c r="U87" s="665"/>
      <c r="V87" s="665"/>
      <c r="W87" s="666"/>
    </row>
    <row r="88" spans="1:23" ht="17.25">
      <c r="A88" s="571"/>
      <c r="B88" s="542"/>
      <c r="C88" s="566"/>
      <c r="D88" s="139" t="s">
        <v>66</v>
      </c>
      <c r="E88" s="297">
        <f>'ｼｰﾄNO.4（表-4）60頁'!S15</f>
        <v>2.1</v>
      </c>
      <c r="F88" s="544"/>
      <c r="G88" s="544"/>
      <c r="H88" s="218">
        <f>12.28697452/G87-0.05907844*G87+0.00051753*G87^2+2.69979197</f>
        <v>3.3311652914654406</v>
      </c>
      <c r="I88" s="621"/>
      <c r="J88" s="221">
        <f t="shared" ref="J88" si="152">C87*E88*F87*H88/1000000*I87</f>
        <v>0.3203355141562495</v>
      </c>
      <c r="K88" s="391">
        <f>9.45345681/G87-0.14325844*G87+0.00124097*G87^2+5.98054622</f>
        <v>5.5444486289054016</v>
      </c>
      <c r="L88" s="621"/>
      <c r="M88" s="221">
        <f>C87*E88*F87*K88/1000000*L87</f>
        <v>121.26106754916188</v>
      </c>
      <c r="N88" s="391">
        <f>0.6037810576/G87-0.0052863845*G87+0.0000423961*G87^2+0.3189943526</f>
        <v>0.32717350778498738</v>
      </c>
      <c r="O88" s="621"/>
      <c r="P88" s="221">
        <f>C87*E88*F87*N88/1000000*O87</f>
        <v>28.876395201026931</v>
      </c>
      <c r="Q88" s="392">
        <f>1.5469182952/G87-0.0051393982*G87+0.0000404677*G87^2+0.2460289003</f>
        <v>0.34666042836245203</v>
      </c>
      <c r="R88" s="659"/>
      <c r="S88" s="393">
        <f t="shared" ref="S88" si="153">C87*E88*F87*Q88/1000000*R87</f>
        <v>61.259300889207829</v>
      </c>
      <c r="T88" s="665"/>
      <c r="U88" s="665"/>
      <c r="V88" s="665"/>
      <c r="W88" s="666"/>
    </row>
    <row r="89" spans="1:23" ht="17.25">
      <c r="A89" s="571"/>
      <c r="B89" s="540" t="s">
        <v>359</v>
      </c>
      <c r="C89" s="553">
        <f>'ｼｰﾄNO.3（表-3）59頁'!$F$30</f>
        <v>9</v>
      </c>
      <c r="D89" s="138" t="s">
        <v>65</v>
      </c>
      <c r="E89" s="294">
        <f>'ｼｰﾄNO.4（表-4）60頁'!S16</f>
        <v>147.25</v>
      </c>
      <c r="F89" s="543">
        <f>'ｼｰﾄNO.4（表-4）60頁'!O16/1000</f>
        <v>0.91</v>
      </c>
      <c r="G89" s="543">
        <f>F89/('ｼｰﾄNO.4（表-4）60頁'!P16/3600)</f>
        <v>10.601941747572816</v>
      </c>
      <c r="H89" s="219">
        <f>-2.71095565/G89-0.09453616*G89+0.00089493*G89^2+3.15403637</f>
        <v>1.9966569943899946</v>
      </c>
      <c r="I89" s="620">
        <v>6000</v>
      </c>
      <c r="J89" s="99">
        <f t="shared" ref="J89" si="154">C89*E89*F89*H89/1000000*I89</f>
        <v>14.447540462711757</v>
      </c>
      <c r="K89" s="390">
        <f>-0.25063622/G89-0.00657231*G89+0.00005332*G89^2+0.29056757</f>
        <v>0.20324095671194409</v>
      </c>
      <c r="L89" s="620">
        <v>1364600</v>
      </c>
      <c r="M89" s="99">
        <f>C89*E89*F89*K89/1000000*L89</f>
        <v>334.46894688340296</v>
      </c>
      <c r="N89" s="390">
        <f>0.093055673/G89-0.0002682273*G89+0.00000218*G89^2+0.0173678037</f>
        <v>2.3546337268170004E-2</v>
      </c>
      <c r="O89" s="620">
        <v>5506900</v>
      </c>
      <c r="P89" s="99">
        <f>C89*E89*F89*N89/1000000*O89</f>
        <v>156.37587607590919</v>
      </c>
      <c r="Q89" s="390">
        <f>0.0505593958/G89-0.000357176*G89+0.0000031505*G89^2+0.0131649024</f>
        <v>1.4501143876110251E-2</v>
      </c>
      <c r="R89" s="658">
        <v>11025800</v>
      </c>
      <c r="S89" s="375">
        <f t="shared" ref="S89" si="155">C89*E89*F89*Q89/1000000*R89</f>
        <v>192.81977740093166</v>
      </c>
      <c r="T89" s="665"/>
      <c r="U89" s="665"/>
      <c r="V89" s="665"/>
      <c r="W89" s="666"/>
    </row>
    <row r="90" spans="1:23" ht="17.25">
      <c r="A90" s="571"/>
      <c r="B90" s="542"/>
      <c r="C90" s="566"/>
      <c r="D90" s="139" t="s">
        <v>66</v>
      </c>
      <c r="E90" s="297">
        <f>'ｼｰﾄNO.4（表-4）60頁'!S17</f>
        <v>7.75</v>
      </c>
      <c r="F90" s="544"/>
      <c r="G90" s="544"/>
      <c r="H90" s="218">
        <f>12.28697452/G89-0.05907844*G89+0.00051753*G89^2+2.69979197</f>
        <v>3.290553008836695</v>
      </c>
      <c r="I90" s="621"/>
      <c r="J90" s="221">
        <f t="shared" ref="J90" si="156">C89*E90*F89*H90/1000000*I89</f>
        <v>1.2531577551203228</v>
      </c>
      <c r="K90" s="391">
        <f>9.45345681/G89-0.14325844*G89+0.00124097*G89^2+5.98054622</f>
        <v>5.4928872710103001</v>
      </c>
      <c r="L90" s="621"/>
      <c r="M90" s="221">
        <f>C89*E90*F89*K90/1000000*L89</f>
        <v>475.76408826213611</v>
      </c>
      <c r="N90" s="391">
        <f>0.6037810576/G89-0.0052863845*G89+0.0000423961*G89^2+0.3189943526</f>
        <v>0.32466382807934868</v>
      </c>
      <c r="O90" s="621"/>
      <c r="P90" s="221">
        <f>C89*E90*F89*N90/1000000*O89</f>
        <v>113.48192640402712</v>
      </c>
      <c r="Q90" s="392">
        <f>1.5469182952/G89-0.0051393982*G89+0.0000404677*G89^2+0.2460289003</f>
        <v>0.34199887682382135</v>
      </c>
      <c r="R90" s="659"/>
      <c r="S90" s="221">
        <f t="shared" ref="S90" si="157">C89*E90*F89*Q90/1000000*R89</f>
        <v>239.34281491289741</v>
      </c>
      <c r="T90" s="665"/>
      <c r="U90" s="665"/>
      <c r="V90" s="665"/>
      <c r="W90" s="666"/>
    </row>
    <row r="91" spans="1:23" ht="17.25">
      <c r="A91" s="571"/>
      <c r="B91" s="540" t="s">
        <v>360</v>
      </c>
      <c r="C91" s="553">
        <f>'ｼｰﾄNO.3（表-3）59頁'!$F$30</f>
        <v>9</v>
      </c>
      <c r="D91" s="138" t="s">
        <v>65</v>
      </c>
      <c r="E91" s="294">
        <f>'ｼｰﾄNO.4（表-4）60頁'!S18</f>
        <v>56.05</v>
      </c>
      <c r="F91" s="543">
        <f>'ｼｰﾄNO.4（表-4）60頁'!O18/1000</f>
        <v>0.76100000000000001</v>
      </c>
      <c r="G91" s="543">
        <f>F91/('ｼｰﾄNO.4（表-4）60頁'!P18/3600)</f>
        <v>22.455737704918032</v>
      </c>
      <c r="H91" s="219">
        <f>-2.71095565/G91-0.09453616*G91+0.00089493*G91^2+3.15403637</f>
        <v>1.3617102902871472</v>
      </c>
      <c r="I91" s="620">
        <v>6000</v>
      </c>
      <c r="J91" s="99">
        <f t="shared" ref="J91" si="158">C91*E91*F91*H91/1000000*I91</f>
        <v>3.1364527756008145</v>
      </c>
      <c r="K91" s="390">
        <f>-0.25063622/G91-0.00657231*G91+0.00005332*G91^2+0.29056757</f>
        <v>0.15870730773725159</v>
      </c>
      <c r="L91" s="620">
        <v>1364600</v>
      </c>
      <c r="M91" s="99">
        <f>C91*E91*F91*K91/1000000*L91</f>
        <v>83.13905323138205</v>
      </c>
      <c r="N91" s="390">
        <f>0.093055673/G91-0.0002682273*G91+0.00000218*G91^2+0.0173678037</f>
        <v>1.6587808686540848E-2</v>
      </c>
      <c r="O91" s="620">
        <v>5506900</v>
      </c>
      <c r="P91" s="99">
        <f>C91*E91*F91*N91/1000000*O91</f>
        <v>35.067030506184999</v>
      </c>
      <c r="Q91" s="390">
        <f>0.0505593958/G91-0.000357176*G91+0.0000031505*G91^2+0.0131649024</f>
        <v>8.9844369151765458E-3</v>
      </c>
      <c r="R91" s="658">
        <v>11025800</v>
      </c>
      <c r="S91" s="394">
        <f t="shared" ref="S91" si="159">C91*E91*F91*Q91/1000000*R91</f>
        <v>38.028023811466319</v>
      </c>
      <c r="T91" s="665"/>
      <c r="U91" s="665"/>
      <c r="V91" s="665"/>
      <c r="W91" s="666"/>
    </row>
    <row r="92" spans="1:23" ht="17.25">
      <c r="A92" s="571"/>
      <c r="B92" s="542"/>
      <c r="C92" s="566"/>
      <c r="D92" s="139" t="s">
        <v>66</v>
      </c>
      <c r="E92" s="297">
        <f>'ｼｰﾄNO.4（表-4）60頁'!S19</f>
        <v>2.95</v>
      </c>
      <c r="F92" s="544"/>
      <c r="G92" s="544"/>
      <c r="H92" s="218">
        <f>12.28697452/G91-0.05907844*G91+0.00051753*G91^2+2.69979197</f>
        <v>2.1812759207390053</v>
      </c>
      <c r="I92" s="621"/>
      <c r="J92" s="221">
        <f t="shared" ref="J92" si="160">C91*E92*F91*H92/1000000*I91</f>
        <v>0.26443019042620364</v>
      </c>
      <c r="K92" s="391">
        <f>9.45345681/G91-0.14325844*G91+0.00124097*G91^2+5.98054622</f>
        <v>3.8103257898887928</v>
      </c>
      <c r="L92" s="621"/>
      <c r="M92" s="221">
        <f>C91*E92*F91*K92/1000000*L91</f>
        <v>105.05498361832801</v>
      </c>
      <c r="N92" s="391">
        <f>0.6037810576/G91-0.0052863845*G91+0.0000423961*G91^2+0.3189943526</f>
        <v>0.24855096017988887</v>
      </c>
      <c r="O92" s="621"/>
      <c r="P92" s="221">
        <f>C91*E92*F91*N92/1000000*O91</f>
        <v>27.654882499851428</v>
      </c>
      <c r="Q92" s="392">
        <f>1.5469182952/G91-0.0051393982*G91+0.0000404677*G91^2+0.2460289003</f>
        <v>0.21991361157697595</v>
      </c>
      <c r="R92" s="659"/>
      <c r="S92" s="393">
        <f t="shared" ref="S92" si="161">C91*E92*F91*Q92/1000000*R91</f>
        <v>48.990447162131801</v>
      </c>
      <c r="T92" s="665"/>
      <c r="U92" s="665"/>
      <c r="V92" s="665"/>
      <c r="W92" s="666"/>
    </row>
    <row r="93" spans="1:23" ht="17.25">
      <c r="A93" s="571"/>
      <c r="B93" s="540" t="s">
        <v>232</v>
      </c>
      <c r="C93" s="553">
        <f>'ｼｰﾄNO.3（表-3）59頁'!$F$30</f>
        <v>9</v>
      </c>
      <c r="D93" s="138" t="s">
        <v>65</v>
      </c>
      <c r="E93" s="294">
        <f>'ｼｰﾄNO.4（表-4）60頁'!S20</f>
        <v>158.65</v>
      </c>
      <c r="F93" s="543">
        <f>'ｼｰﾄNO.4（表-4）60頁'!O20/1000</f>
        <v>0.84799999999999998</v>
      </c>
      <c r="G93" s="543">
        <f>F93/('ｼｰﾄNO.4（表-4）60頁'!P20/3600)</f>
        <v>27.257142857142856</v>
      </c>
      <c r="H93" s="219">
        <f>-2.71095565/G93-0.09453616*G93+0.00089493*G93^2+3.15403637</f>
        <v>1.1426820983448174</v>
      </c>
      <c r="I93" s="620">
        <v>6000</v>
      </c>
      <c r="J93" s="99">
        <f t="shared" ref="J93" si="162">C93*E93*F93*H93/1000000*I93</f>
        <v>8.3014720904109414</v>
      </c>
      <c r="K93" s="390">
        <f>-0.25063622/G93-0.00657231*G93+0.00005332*G93^2+0.29056757</f>
        <v>0.14184412020183973</v>
      </c>
      <c r="L93" s="620">
        <v>1364600</v>
      </c>
      <c r="M93" s="99">
        <f>C93*E93*F93*K93/1000000*L93</f>
        <v>234.3662887825048</v>
      </c>
      <c r="N93" s="390">
        <f>0.093055673/G93-0.0002682273*G93+0.00000218*G93^2+0.0173678037</f>
        <v>1.5090321065812691E-2</v>
      </c>
      <c r="O93" s="620">
        <v>5506900</v>
      </c>
      <c r="P93" s="99">
        <f>C93*E93*F93*N93/1000000*O93</f>
        <v>100.61995258976029</v>
      </c>
      <c r="Q93" s="390">
        <f>0.0505593958/G93-0.000357176*G93+0.0000031505*G93^2+0.0131649024</f>
        <v>7.6248793625610725E-3</v>
      </c>
      <c r="R93" s="658">
        <v>11025800</v>
      </c>
      <c r="S93" s="375">
        <f t="shared" ref="S93" si="163">C93*E93*F93*Q93/1000000*R93</f>
        <v>101.79384649816282</v>
      </c>
      <c r="T93" s="665"/>
      <c r="U93" s="665"/>
      <c r="V93" s="665"/>
      <c r="W93" s="666"/>
    </row>
    <row r="94" spans="1:23" ht="17.25">
      <c r="A94" s="571"/>
      <c r="B94" s="542"/>
      <c r="C94" s="566"/>
      <c r="D94" s="139" t="s">
        <v>66</v>
      </c>
      <c r="E94" s="297">
        <f>'ｼｰﾄNO.4（表-4）60頁'!S21</f>
        <v>8.35</v>
      </c>
      <c r="F94" s="544"/>
      <c r="G94" s="544"/>
      <c r="H94" s="218">
        <f>12.28697452/G93-0.05907844*G93+0.00051753*G93^2+2.69979197</f>
        <v>1.9247623428391907</v>
      </c>
      <c r="I94" s="621"/>
      <c r="J94" s="221">
        <f t="shared" ref="J94" si="164">C93*E94*F93*H94/1000000*I93</f>
        <v>0.73595828864748991</v>
      </c>
      <c r="K94" s="391">
        <f>9.45345681/G93-0.14325844*G93+0.00124097*G93^2+5.98054622</f>
        <v>3.3445363316385834</v>
      </c>
      <c r="L94" s="621"/>
      <c r="M94" s="221">
        <f>C93*E94*F93*K94/1000000*L93</f>
        <v>290.84802707477627</v>
      </c>
      <c r="N94" s="391">
        <f>0.6037810576/G93-0.0052863845*G93+0.0000423961*G93^2+0.3189943526</f>
        <v>0.22855217211357584</v>
      </c>
      <c r="O94" s="621"/>
      <c r="P94" s="221">
        <f>C93*E94*F93*N94/1000000*O93</f>
        <v>80.207943335820218</v>
      </c>
      <c r="Q94" s="392">
        <f>1.5469182952/G93-0.0051393982*G93+0.0000404677*G93^2+0.2460289003</f>
        <v>0.19276190904989157</v>
      </c>
      <c r="R94" s="659"/>
      <c r="S94" s="221">
        <f t="shared" ref="S94" si="165">C93*E94*F93*Q94/1000000*R93</f>
        <v>135.44287579409115</v>
      </c>
      <c r="T94" s="665"/>
      <c r="U94" s="665"/>
      <c r="V94" s="665"/>
      <c r="W94" s="666"/>
    </row>
    <row r="95" spans="1:23" ht="17.25">
      <c r="A95" s="571"/>
      <c r="B95" s="540" t="s">
        <v>233</v>
      </c>
      <c r="C95" s="553">
        <f>'ｼｰﾄNO.3（表-3）59頁'!$F$30</f>
        <v>9</v>
      </c>
      <c r="D95" s="138" t="s">
        <v>65</v>
      </c>
      <c r="E95" s="294">
        <f>'ｼｰﾄNO.4（表-4）60頁'!S22</f>
        <v>812.25</v>
      </c>
      <c r="F95" s="543">
        <f>'ｼｰﾄNO.4（表-4）60頁'!O22/1000</f>
        <v>0.61699999999999999</v>
      </c>
      <c r="G95" s="543">
        <f>F95/('ｼｰﾄNO.4（表-4）60頁'!P22/3600)</f>
        <v>25.827906976744185</v>
      </c>
      <c r="H95" s="219">
        <f>-2.71095565/G95-0.09453616*G95+0.00089493*G95^2+3.15403637</f>
        <v>1.204393558654802</v>
      </c>
      <c r="I95" s="620">
        <v>6000</v>
      </c>
      <c r="J95" s="99">
        <f t="shared" ref="J95" si="166">C95*E95*F95*H95/1000000*I95</f>
        <v>32.593955481002503</v>
      </c>
      <c r="K95" s="390">
        <f>-0.25063622/G95-0.00657231*G95+0.00005332*G95^2+0.29056757</f>
        <v>0.14668322022988287</v>
      </c>
      <c r="L95" s="620">
        <v>1364600</v>
      </c>
      <c r="M95" s="99">
        <f>C95*E95*F95*K95/1000000*L95</f>
        <v>902.82420923294546</v>
      </c>
      <c r="N95" s="390">
        <f>0.093055673/G95-0.0002682273*G95+0.00000218*G95^2+0.0173678037</f>
        <v>1.5497201929326231E-2</v>
      </c>
      <c r="O95" s="620">
        <v>5506900</v>
      </c>
      <c r="P95" s="99">
        <f>C95*E95*F95*N95/1000000*O95</f>
        <v>384.92655743267437</v>
      </c>
      <c r="Q95" s="390">
        <f>0.0505593958/G95-0.000357176*G95+0.0000031505*G95^2+0.0131649024</f>
        <v>7.9989809813231921E-3</v>
      </c>
      <c r="R95" s="658">
        <v>11025800</v>
      </c>
      <c r="S95" s="394">
        <f t="shared" ref="S95" si="167">C95*E95*F95*Q95/1000000*R95</f>
        <v>397.7976087110091</v>
      </c>
      <c r="T95" s="665"/>
      <c r="U95" s="665"/>
      <c r="V95" s="665"/>
      <c r="W95" s="666"/>
    </row>
    <row r="96" spans="1:23" ht="17.25">
      <c r="A96" s="571"/>
      <c r="B96" s="542"/>
      <c r="C96" s="566"/>
      <c r="D96" s="139" t="s">
        <v>66</v>
      </c>
      <c r="E96" s="297">
        <f>'ｼｰﾄNO.4（表-4）60頁'!S23</f>
        <v>42.75</v>
      </c>
      <c r="F96" s="544"/>
      <c r="G96" s="544"/>
      <c r="H96" s="218">
        <f>12.28697452/G95-0.05907844*G95+0.00051753*G95^2+2.69979197</f>
        <v>1.9948785801086268</v>
      </c>
      <c r="I96" s="621"/>
      <c r="J96" s="221">
        <f t="shared" ref="J96" si="168">C95*E96*F95*H96/1000000*I95</f>
        <v>2.8413943337455323</v>
      </c>
      <c r="K96" s="391">
        <f>9.45345681/G95-0.14325844*G95+0.00124097*G95^2+5.98054622</f>
        <v>3.4743249385475026</v>
      </c>
      <c r="L96" s="621"/>
      <c r="M96" s="221">
        <f>C95*E96*F95*K96/1000000*L95</f>
        <v>1125.4846939248393</v>
      </c>
      <c r="N96" s="391">
        <f>0.6037810576/G95-0.0052863845*G95+0.0000423961*G95^2+0.3189943526</f>
        <v>0.23411680928285042</v>
      </c>
      <c r="O96" s="621"/>
      <c r="P96" s="221">
        <f>C95*E96*F95*N96/1000000*O95</f>
        <v>306.05788962605402</v>
      </c>
      <c r="Q96" s="392">
        <f>1.5469182952/G95-0.0051393982*G95+0.0000404677*G95^2+0.2460289003</f>
        <v>0.20017751544332307</v>
      </c>
      <c r="R96" s="659"/>
      <c r="S96" s="393">
        <f t="shared" ref="S96" si="169">C95*E96*F95*Q96/1000000*R95</f>
        <v>523.94921926202255</v>
      </c>
      <c r="T96" s="665"/>
      <c r="U96" s="665"/>
      <c r="V96" s="665"/>
      <c r="W96" s="666"/>
    </row>
    <row r="97" spans="1:23" ht="17.25">
      <c r="A97" s="571"/>
      <c r="B97" s="540" t="s">
        <v>255</v>
      </c>
      <c r="C97" s="553">
        <f>'ｼｰﾄNO.3（表-3）59頁'!$F$30</f>
        <v>9</v>
      </c>
      <c r="D97" s="138" t="s">
        <v>65</v>
      </c>
      <c r="E97" s="294">
        <f>'ｼｰﾄNO.4（表-4）60頁'!S24</f>
        <v>133.94999999999999</v>
      </c>
      <c r="F97" s="543">
        <f>'ｼｰﾄNO.4（表-4）60頁'!O24/1000</f>
        <v>0.82399999999999995</v>
      </c>
      <c r="G97" s="543">
        <f>F97/('ｼｰﾄNO.4（表-4）60頁'!P24/3600)</f>
        <v>28.251428571428569</v>
      </c>
      <c r="H97" s="219">
        <f>-2.71095565/G97-0.09453616*G97+0.00089493*G97^2+3.15403637</f>
        <v>1.1015789275711407</v>
      </c>
      <c r="I97" s="620">
        <v>6000</v>
      </c>
      <c r="J97" s="99">
        <f t="shared" ref="J97" si="170">C97*E97*F97*H97/1000000*I97</f>
        <v>6.5656739060034726</v>
      </c>
      <c r="K97" s="390">
        <f>-0.25063622/G97-0.00657231*G97+0.00005332*G97^2+0.29056757</f>
        <v>0.13857578982474331</v>
      </c>
      <c r="L97" s="620">
        <v>1364600</v>
      </c>
      <c r="M97" s="99">
        <f>C97*E97*F97*K97/1000000*L97</f>
        <v>187.84739145038779</v>
      </c>
      <c r="N97" s="390">
        <f>0.093055673/G97-0.0002682273*G97+0.00000218*G97^2+0.0173678037</f>
        <v>1.4823791062784857E-2</v>
      </c>
      <c r="O97" s="620">
        <v>5506900</v>
      </c>
      <c r="P97" s="99">
        <f>C97*E97*F97*N97/1000000*O97</f>
        <v>81.09216854460773</v>
      </c>
      <c r="Q97" s="390">
        <f>0.0505593958/G97-0.000357176*G97+0.0000031505*G97^2+0.0131649024</f>
        <v>7.3783429780240207E-3</v>
      </c>
      <c r="R97" s="658">
        <v>11025800</v>
      </c>
      <c r="S97" s="375">
        <f t="shared" ref="S97" si="171">C97*E97*F97*Q97/1000000*R97</f>
        <v>80.813029685459</v>
      </c>
      <c r="T97" s="665"/>
      <c r="U97" s="665"/>
      <c r="V97" s="665"/>
      <c r="W97" s="666"/>
    </row>
    <row r="98" spans="1:23" ht="17.25">
      <c r="A98" s="571"/>
      <c r="B98" s="542"/>
      <c r="C98" s="566"/>
      <c r="D98" s="139" t="s">
        <v>66</v>
      </c>
      <c r="E98" s="297">
        <f>'ｼｰﾄNO.4（表-4）60頁'!S25</f>
        <v>7.0500000000000007</v>
      </c>
      <c r="F98" s="544"/>
      <c r="G98" s="544"/>
      <c r="H98" s="218">
        <f>12.28697452/G97-0.05907844*G97+0.00051753*G97^2+2.69979197</f>
        <v>1.8787198589432965</v>
      </c>
      <c r="I98" s="621"/>
      <c r="J98" s="221">
        <f t="shared" ref="J98" si="172">C97*E98*F97*H98/1000000*I97</f>
        <v>0.58934840784696352</v>
      </c>
      <c r="K98" s="391">
        <f>9.45345681/G97-0.14325844*G97+0.00124097*G97^2+5.98054622</f>
        <v>3.2583811402419545</v>
      </c>
      <c r="L98" s="621"/>
      <c r="M98" s="221">
        <f>C97*E98*F97*K98/1000000*L97</f>
        <v>232.46955722310082</v>
      </c>
      <c r="N98" s="391">
        <f>0.6037810576/G97-0.0052863845*G97+0.0000423961*G97^2+0.3189943526</f>
        <v>0.22485629816747837</v>
      </c>
      <c r="O98" s="621"/>
      <c r="P98" s="221">
        <f>C97*E98*F97*N98/1000000*O97</f>
        <v>64.739759968442741</v>
      </c>
      <c r="Q98" s="392">
        <f>1.5469182952/G97-0.0051393982*G97+0.0000404677*G97^2+0.2460289003</f>
        <v>0.18788798020910602</v>
      </c>
      <c r="R98" s="659"/>
      <c r="S98" s="221">
        <f t="shared" ref="S98" si="173">C97*E98*F97*Q98/1000000*R97</f>
        <v>108.30984799848839</v>
      </c>
      <c r="T98" s="665"/>
      <c r="U98" s="665"/>
      <c r="V98" s="665"/>
      <c r="W98" s="666"/>
    </row>
    <row r="99" spans="1:23" ht="17.25">
      <c r="A99" s="571"/>
      <c r="B99" s="540" t="s">
        <v>362</v>
      </c>
      <c r="C99" s="553">
        <f>'ｼｰﾄNO.3（表-3）59頁'!$F$30</f>
        <v>9</v>
      </c>
      <c r="D99" s="138" t="s">
        <v>65</v>
      </c>
      <c r="E99" s="294">
        <f>'ｼｰﾄNO.4（表-4）60頁'!S26</f>
        <v>46.55</v>
      </c>
      <c r="F99" s="543">
        <f>'ｼｰﾄNO.4（表-4）60頁'!O26/1000</f>
        <v>0.91</v>
      </c>
      <c r="G99" s="543">
        <f>F99/('ｼｰﾄNO.4（表-4）60頁'!P26/3600)</f>
        <v>22.135135135135137</v>
      </c>
      <c r="H99" s="219">
        <f>-2.71095565/G99-0.09453616*G99+0.00089493*G99^2+3.15403637</f>
        <v>1.377476395544077</v>
      </c>
      <c r="I99" s="620">
        <v>6000</v>
      </c>
      <c r="J99" s="99">
        <f t="shared" ref="J99" si="174">C99*E99*F99*H99/1000000*I99</f>
        <v>3.1509317980860234</v>
      </c>
      <c r="K99" s="390">
        <f>-0.25063622/G99-0.00657231*G99+0.00005332*G99^2+0.29056757</f>
        <v>0.15989048770732717</v>
      </c>
      <c r="L99" s="620">
        <v>1364600</v>
      </c>
      <c r="M99" s="99">
        <f>C99*E99*F99*K99/1000000*L99</f>
        <v>83.182425792988482</v>
      </c>
      <c r="N99" s="390">
        <f>0.093055673/G99-0.0002682273*G99+0.00000218*G99^2+0.0173678037</f>
        <v>1.6702658482911421E-2</v>
      </c>
      <c r="O99" s="620">
        <v>5506900</v>
      </c>
      <c r="P99" s="99">
        <f>C99*E99*F99*N99/1000000*O99</f>
        <v>35.066819548041501</v>
      </c>
      <c r="Q99" s="390">
        <f>0.0505593958/G99-0.000357176*G99+0.0000031505*G99^2+0.0131649024</f>
        <v>9.0865197167270904E-3</v>
      </c>
      <c r="R99" s="658">
        <v>11025800</v>
      </c>
      <c r="S99" s="394">
        <f t="shared" ref="S99" si="175">C99*E99*F99*Q99/1000000*R99</f>
        <v>38.195418317767889</v>
      </c>
      <c r="T99" s="665"/>
      <c r="U99" s="665"/>
      <c r="V99" s="665"/>
      <c r="W99" s="666"/>
    </row>
    <row r="100" spans="1:23" ht="17.25">
      <c r="A100" s="571"/>
      <c r="B100" s="542"/>
      <c r="C100" s="566"/>
      <c r="D100" s="139" t="s">
        <v>66</v>
      </c>
      <c r="E100" s="297">
        <f>'ｼｰﾄNO.4（表-4）60頁'!S27</f>
        <v>2.4500000000000002</v>
      </c>
      <c r="F100" s="544"/>
      <c r="G100" s="544"/>
      <c r="H100" s="218">
        <f>12.28697452/G99-0.05907844*G99+0.00051753*G99^2+2.69979197</f>
        <v>2.2007430962882273</v>
      </c>
      <c r="I100" s="621"/>
      <c r="J100" s="221">
        <f t="shared" ref="J100" si="176">C99*E100*F99*H100/1000000*I99</f>
        <v>0.26495406359142853</v>
      </c>
      <c r="K100" s="391">
        <f>9.45345681/G99-0.14325844*G99+0.00124097*G99^2+5.98054622</f>
        <v>3.8446114192560543</v>
      </c>
      <c r="L100" s="621"/>
      <c r="M100" s="221">
        <f>C99*E100*F99*K100/1000000*L99</f>
        <v>105.27077122098419</v>
      </c>
      <c r="N100" s="391">
        <f>0.6037810576/G99-0.0052863845*G99+0.0000423961*G99^2+0.3189943526</f>
        <v>0.25002913296795587</v>
      </c>
      <c r="O100" s="621"/>
      <c r="P100" s="221">
        <f>C99*E100*F99*N100/1000000*O99</f>
        <v>27.627894642643074</v>
      </c>
      <c r="Q100" s="392">
        <f>1.5469182952/G99-0.0051393982*G99+0.0000404677*G99^2+0.2460289003</f>
        <v>0.22198054889503027</v>
      </c>
      <c r="R100" s="659"/>
      <c r="S100" s="393">
        <f t="shared" ref="S100" si="177">C99*E100*F99*Q100/1000000*R99</f>
        <v>49.110574830544941</v>
      </c>
      <c r="T100" s="665"/>
      <c r="U100" s="665"/>
      <c r="V100" s="665"/>
      <c r="W100" s="666"/>
    </row>
    <row r="101" spans="1:23" ht="17.25">
      <c r="A101" s="571"/>
      <c r="B101" s="540" t="s">
        <v>236</v>
      </c>
      <c r="C101" s="553">
        <f>'ｼｰﾄNO.3（表-3）59頁'!$F$30</f>
        <v>9</v>
      </c>
      <c r="D101" s="138" t="s">
        <v>65</v>
      </c>
      <c r="E101" s="294">
        <f>'ｼｰﾄNO.4（表-4）60頁'!S28</f>
        <v>733.4</v>
      </c>
      <c r="F101" s="543">
        <f>'ｼｰﾄNO.4（表-4）60頁'!O28/1000</f>
        <v>0.61699999999999999</v>
      </c>
      <c r="G101" s="543">
        <f>F101/('ｼｰﾄNO.4（表-4）60頁'!P28/3600)</f>
        <v>27.422222222222224</v>
      </c>
      <c r="H101" s="219">
        <f>-2.71095565/G101-0.09453616*G101+0.00089493*G101^2+3.15403637</f>
        <v>1.1357528880972327</v>
      </c>
      <c r="I101" s="620">
        <v>6000</v>
      </c>
      <c r="J101" s="99">
        <f t="shared" ref="J101" si="178">C101*E101*F101*H101/1000000*I101</f>
        <v>27.752600199772349</v>
      </c>
      <c r="K101" s="390">
        <f>-0.25063622/G101-0.00657231*G101+0.00005332*G101^2+0.29056757</f>
        <v>0.14129581153813953</v>
      </c>
      <c r="L101" s="620">
        <v>1364600</v>
      </c>
      <c r="M101" s="99">
        <f>C101*E101*F101*K101/1000000*L101</f>
        <v>785.24148229155185</v>
      </c>
      <c r="N101" s="390">
        <f>0.093055673/G101-0.0002682273*G101+0.00000218*G101^2+0.0173678037</f>
        <v>1.5045167968803249E-2</v>
      </c>
      <c r="O101" s="620">
        <v>5506900</v>
      </c>
      <c r="P101" s="99">
        <f>C101*E101*F101*N101/1000000*O101</f>
        <v>337.42154524937837</v>
      </c>
      <c r="Q101" s="390">
        <f>0.0505593958/G101-0.000357176*G101+0.0000031505*G101^2+0.0131649024</f>
        <v>7.5831883966812723E-3</v>
      </c>
      <c r="R101" s="658">
        <v>11025800</v>
      </c>
      <c r="S101" s="375">
        <f t="shared" ref="S101" si="179">C101*E101*F101*Q101/1000000*R101</f>
        <v>340.5105210692102</v>
      </c>
      <c r="T101" s="665"/>
      <c r="U101" s="665"/>
      <c r="V101" s="665"/>
      <c r="W101" s="666"/>
    </row>
    <row r="102" spans="1:23" ht="17.25">
      <c r="A102" s="572"/>
      <c r="B102" s="542"/>
      <c r="C102" s="566"/>
      <c r="D102" s="139" t="s">
        <v>66</v>
      </c>
      <c r="E102" s="297">
        <f>'ｼｰﾄNO.4（表-4）60頁'!S29</f>
        <v>38.6</v>
      </c>
      <c r="F102" s="544"/>
      <c r="G102" s="544"/>
      <c r="H102" s="218">
        <f>12.28697452/G101-0.05907844*G101+0.00051753*G101^2+2.69979197</f>
        <v>1.9169675064480942</v>
      </c>
      <c r="I102" s="621"/>
      <c r="J102" s="221">
        <f t="shared" ref="J102" si="180">C101*E102*F101*H102/1000000*I101</f>
        <v>2.465363602461732</v>
      </c>
      <c r="K102" s="391">
        <f>9.45345681/G101-0.14325844*G101+0.00124097*G101^2+5.98054622</f>
        <v>3.3300009986058909</v>
      </c>
      <c r="L102" s="621"/>
      <c r="M102" s="221">
        <f>C101*E102*F101*K102/1000000*L101</f>
        <v>974.01290009290699</v>
      </c>
      <c r="N102" s="391">
        <f>0.6037810576/G101-0.0052863845*G101+0.0000423961*G101^2+0.3189943526</f>
        <v>0.22792883589518953</v>
      </c>
      <c r="O102" s="621"/>
      <c r="P102" s="221">
        <f>C101*E102*F101*N102/1000000*O101</f>
        <v>269.04284126347102</v>
      </c>
      <c r="Q102" s="392">
        <f>1.5469182952/G101-0.0051393982*G101+0.0000404677*G101^2+0.2460289003</f>
        <v>0.19193713284862707</v>
      </c>
      <c r="R102" s="659"/>
      <c r="S102" s="221">
        <f t="shared" ref="S102" si="181">C101*E102*F101*Q102/1000000*R101</f>
        <v>453.6115368834835</v>
      </c>
      <c r="T102" s="617"/>
      <c r="U102" s="617"/>
      <c r="V102" s="617"/>
      <c r="W102" s="666"/>
    </row>
    <row r="103" spans="1:23" ht="13.5" customHeight="1">
      <c r="A103" s="570" t="s">
        <v>977</v>
      </c>
      <c r="B103" s="540" t="s">
        <v>224</v>
      </c>
      <c r="C103" s="553">
        <f>'ｼｰﾄNO.3（表-3）59頁'!$F$30</f>
        <v>9</v>
      </c>
      <c r="D103" s="138" t="s">
        <v>65</v>
      </c>
      <c r="E103" s="294">
        <f>'ｼｰﾄNO.4（表-4）60頁'!S33</f>
        <v>772.34999999999991</v>
      </c>
      <c r="F103" s="543">
        <f>'ｼｰﾄNO.4（表-4）60頁'!O33/1000</f>
        <v>1.054</v>
      </c>
      <c r="G103" s="543">
        <f>F103/('ｼｰﾄNO.4（表-4）60頁'!P33/3600)</f>
        <v>29.643750000000001</v>
      </c>
      <c r="H103" s="219">
        <f>-2.71095565/G103-0.09453616*G103+0.00089493*G103^2+3.15403637</f>
        <v>1.0466003564631281</v>
      </c>
      <c r="I103" s="620">
        <v>6000</v>
      </c>
      <c r="J103" s="99">
        <f>C103*E103*F103*H103/1000000*I103</f>
        <v>46.007581052948531</v>
      </c>
      <c r="K103" s="390">
        <f>-0.25063622/G103-0.00657231*G103+0.00005332*G103^2+0.29056757</f>
        <v>0.13413976437914132</v>
      </c>
      <c r="L103" s="620">
        <v>1364600</v>
      </c>
      <c r="M103" s="99">
        <f>C103*E103*F103*K103/1000000*L103</f>
        <v>1341.0969576596506</v>
      </c>
      <c r="N103" s="390">
        <f>0.093055673/G103-0.0002682273*G103+0.00000218*G103^2+0.0173678037</f>
        <v>1.4471352818974903E-2</v>
      </c>
      <c r="O103" s="620">
        <v>5506900</v>
      </c>
      <c r="P103" s="99">
        <f>C103*E103*F103*N103/1000000*O103</f>
        <v>583.86654776030605</v>
      </c>
      <c r="Q103" s="390">
        <f>0.0505593958/G103-0.000357176*G103+0.0000031505*G103^2+0.0131649024</f>
        <v>7.0509410543262221E-3</v>
      </c>
      <c r="R103" s="658">
        <v>11025800</v>
      </c>
      <c r="S103" s="99">
        <f t="shared" ref="S103" si="182">C103*E103*F103*Q103/1000000*R103</f>
        <v>569.5796516277195</v>
      </c>
      <c r="T103" s="616">
        <f>SUM(J103:J126)+SUM(M103:M126)+SUM(P103:P126)+SUM(S103:S126)</f>
        <v>21682.801938929384</v>
      </c>
      <c r="U103" s="616">
        <f>'ｼｰﾄNO.3（表-3）59頁'!$F$39</f>
        <v>12</v>
      </c>
      <c r="V103" s="616">
        <f>T103*U103</f>
        <v>260193.62326715261</v>
      </c>
      <c r="W103" s="666"/>
    </row>
    <row r="104" spans="1:23" ht="17.25">
      <c r="A104" s="571"/>
      <c r="B104" s="542"/>
      <c r="C104" s="566"/>
      <c r="D104" s="139" t="s">
        <v>66</v>
      </c>
      <c r="E104" s="297">
        <f>'ｼｰﾄNO.4（表-4）60頁'!S34</f>
        <v>40.650000000000006</v>
      </c>
      <c r="F104" s="544"/>
      <c r="G104" s="544"/>
      <c r="H104" s="218">
        <f>12.28697452/G103-0.05907844*G103+0.00051753*G103^2+2.69979197</f>
        <v>1.8177538030136606</v>
      </c>
      <c r="I104" s="621"/>
      <c r="J104" s="221">
        <f>C103*E104*F103*H104/1000000*I103</f>
        <v>4.205619547137033</v>
      </c>
      <c r="K104" s="391">
        <f>9.45345681/G103-0.14325844*G103+0.00124097*G103^2+5.98054622</f>
        <v>3.1432357925564749</v>
      </c>
      <c r="L104" s="621"/>
      <c r="M104" s="221">
        <f>C103*E104*F103*K104/1000000*L103</f>
        <v>1653.96379394012</v>
      </c>
      <c r="N104" s="391">
        <f>0.6037810576/G103-0.0052863845*G103+0.0000423961*G103^2+0.3189943526</f>
        <v>0.21990965021660547</v>
      </c>
      <c r="O104" s="621"/>
      <c r="P104" s="221">
        <f>C103*E104*F103*N104/1000000*O103</f>
        <v>466.97663161180054</v>
      </c>
      <c r="Q104" s="392">
        <f>1.5469182952/G103-0.0051393982*G103+0.0000404677*G103^2+0.2460289003</f>
        <v>0.18142255744628519</v>
      </c>
      <c r="R104" s="659"/>
      <c r="S104" s="393">
        <f t="shared" ref="S104" si="183">C103*E104*F103*Q104/1000000*R103</f>
        <v>771.33860028858635</v>
      </c>
      <c r="T104" s="665"/>
      <c r="U104" s="665"/>
      <c r="V104" s="665"/>
      <c r="W104" s="666"/>
    </row>
    <row r="105" spans="1:23" ht="17.25">
      <c r="A105" s="571"/>
      <c r="B105" s="540" t="s">
        <v>257</v>
      </c>
      <c r="C105" s="553">
        <f>'ｼｰﾄNO.3（表-3）59頁'!$F$30</f>
        <v>9</v>
      </c>
      <c r="D105" s="138" t="s">
        <v>65</v>
      </c>
      <c r="E105" s="294">
        <f>'ｼｰﾄNO.4（表-4）60頁'!S35</f>
        <v>148.19999999999999</v>
      </c>
      <c r="F105" s="543">
        <f>'ｼｰﾄNO.4（表-4）60頁'!O35/1000</f>
        <v>0.76100000000000001</v>
      </c>
      <c r="G105" s="543">
        <f>F105/('ｼｰﾄNO.4（表-4）60頁'!T35/3600)</f>
        <v>27.955102040816328</v>
      </c>
      <c r="H105" s="219">
        <f>-2.71095565/G105-0.09453616*G105+0.00089493*G105^2+3.15403637</f>
        <v>1.1136698404962537</v>
      </c>
      <c r="I105" s="620">
        <v>6000</v>
      </c>
      <c r="J105" s="99">
        <f t="shared" ref="J105" si="184">C105*E105*F105*H105/1000000*I105</f>
        <v>6.7823949966373211</v>
      </c>
      <c r="K105" s="390">
        <f>-0.25063622/G105-0.00657231*G105+0.00005332*G105^2+0.29056757</f>
        <v>0.13954122906549798</v>
      </c>
      <c r="L105" s="620">
        <v>1364600</v>
      </c>
      <c r="M105" s="99">
        <f>C105*E105*F105*K105/1000000*L105</f>
        <v>193.27838171207401</v>
      </c>
      <c r="N105" s="390">
        <f>0.093055673/G105-0.0002682273*G105+0.00000218*G105^2+0.0173678037</f>
        <v>1.4901879955931608E-2</v>
      </c>
      <c r="O105" s="620">
        <v>5506900</v>
      </c>
      <c r="P105" s="99">
        <f>C105*E105*F105*N105/1000000*O105</f>
        <v>83.295899147207066</v>
      </c>
      <c r="Q105" s="390">
        <f>0.0505593958/G105-0.000357176*G105+0.0000031505*G105^2+0.0131649024</f>
        <v>7.450680750222689E-3</v>
      </c>
      <c r="R105" s="658">
        <v>11025800</v>
      </c>
      <c r="S105" s="375">
        <f t="shared" ref="S105" si="185">C105*E105*F105*Q105/1000000*R105</f>
        <v>83.383752416847187</v>
      </c>
      <c r="T105" s="665"/>
      <c r="U105" s="665"/>
      <c r="V105" s="665"/>
      <c r="W105" s="666"/>
    </row>
    <row r="106" spans="1:23" ht="17.25">
      <c r="A106" s="571"/>
      <c r="B106" s="542"/>
      <c r="C106" s="566"/>
      <c r="D106" s="139" t="s">
        <v>66</v>
      </c>
      <c r="E106" s="297">
        <f>'ｼｰﾄNO.4（表-4）60頁'!S36</f>
        <v>7.8000000000000007</v>
      </c>
      <c r="F106" s="544"/>
      <c r="G106" s="544"/>
      <c r="H106" s="218">
        <f>12.28697452/G105-0.05907844*G105+0.00051753*G105^2+2.69979197</f>
        <v>1.8922167930969032</v>
      </c>
      <c r="I106" s="621"/>
      <c r="J106" s="221">
        <f t="shared" ref="J106" si="186">C105*E106*F105*H106/1000000*I105</f>
        <v>0.60651830378508842</v>
      </c>
      <c r="K106" s="391">
        <f>9.45345681/G105-0.14325844*G105+0.00124097*G105^2+5.98054622</f>
        <v>3.2837104457456512</v>
      </c>
      <c r="L106" s="621"/>
      <c r="M106" s="221">
        <f>C105*E106*F105*K106/1000000*L105</f>
        <v>239.38227516401381</v>
      </c>
      <c r="N106" s="391">
        <f>0.6037810576/G105-0.0052863845*G105+0.0000423961*G105^2+0.3189943526</f>
        <v>0.22594320837961243</v>
      </c>
      <c r="O106" s="621"/>
      <c r="P106" s="221">
        <f>C105*E106*F105*N106/1000000*O105</f>
        <v>66.470393611375528</v>
      </c>
      <c r="Q106" s="392">
        <f>1.5469182952/G105-0.0051393982*G105+0.0000404677*G105^2+0.2460289003</f>
        <v>0.18931732307317983</v>
      </c>
      <c r="R106" s="659"/>
      <c r="S106" s="221">
        <f t="shared" ref="S106" si="187">C105*E106*F105*Q106/1000000*R105</f>
        <v>111.51216155921465</v>
      </c>
      <c r="T106" s="665"/>
      <c r="U106" s="665"/>
      <c r="V106" s="665"/>
      <c r="W106" s="666"/>
    </row>
    <row r="107" spans="1:23" ht="17.25">
      <c r="A107" s="571"/>
      <c r="B107" s="540" t="s">
        <v>355</v>
      </c>
      <c r="C107" s="553">
        <f>'ｼｰﾄNO.3（表-3）59頁'!$F$30</f>
        <v>9</v>
      </c>
      <c r="D107" s="138" t="s">
        <v>65</v>
      </c>
      <c r="E107" s="294">
        <f>'ｼｰﾄNO.4（表-4）60頁'!S37</f>
        <v>41.8</v>
      </c>
      <c r="F107" s="543">
        <f>'ｼｰﾄNO.4（表-4）60頁'!O37/1000</f>
        <v>0.82399999999999995</v>
      </c>
      <c r="G107" s="543">
        <f>F107/('ｼｰﾄNO.4（表-4）60頁'!T37/3600)</f>
        <v>24.927731092436975</v>
      </c>
      <c r="H107" s="219">
        <f>-2.71095565/G107-0.09453616*G107+0.00089493*G107^2+3.15403637</f>
        <v>1.2448139350987362</v>
      </c>
      <c r="I107" s="620">
        <v>6000</v>
      </c>
      <c r="J107" s="99">
        <f t="shared" ref="J107" si="188">C107*E107*F107*H107/1000000*I107</f>
        <v>2.3152702677872101</v>
      </c>
      <c r="K107" s="390">
        <f>-0.25063622/G107-0.00657231*G107+0.00005332*G107^2+0.29056757</f>
        <v>0.14981288928616346</v>
      </c>
      <c r="L107" s="620">
        <v>1364600</v>
      </c>
      <c r="M107" s="99">
        <f>C107*E107*F107*K107/1000000*L107</f>
        <v>63.372457634878913</v>
      </c>
      <c r="N107" s="390">
        <f>0.093055673/G107-0.0002682273*G107+0.00000218*G107^2+0.0173678037</f>
        <v>1.5769157934508494E-2</v>
      </c>
      <c r="O107" s="620">
        <v>5506900</v>
      </c>
      <c r="P107" s="99">
        <f>C107*E107*F107*N107/1000000*O107</f>
        <v>26.919171908389597</v>
      </c>
      <c r="Q107" s="390">
        <f>0.0505593958/G107-0.000357176*G107+0.0000031505*G107^2+0.0131649024</f>
        <v>8.2472488906841519E-3</v>
      </c>
      <c r="R107" s="658">
        <v>11025800</v>
      </c>
      <c r="S107" s="394">
        <f t="shared" ref="S107" si="189">C107*E107*F107*Q107/1000000*R107</f>
        <v>28.188061769672274</v>
      </c>
      <c r="T107" s="665"/>
      <c r="U107" s="665"/>
      <c r="V107" s="665"/>
      <c r="W107" s="666"/>
    </row>
    <row r="108" spans="1:23" ht="17.25">
      <c r="A108" s="571"/>
      <c r="B108" s="542"/>
      <c r="C108" s="566"/>
      <c r="D108" s="139" t="s">
        <v>66</v>
      </c>
      <c r="E108" s="297">
        <f>'ｼｰﾄNO.4（表-4）60頁'!S38</f>
        <v>2.2000000000000002</v>
      </c>
      <c r="F108" s="544"/>
      <c r="G108" s="544"/>
      <c r="H108" s="218">
        <f>12.28697452/G107-0.05907844*G107+0.00051753*G107^2+2.69979197</f>
        <v>2.0415932365843594</v>
      </c>
      <c r="I108" s="621"/>
      <c r="J108" s="221">
        <f t="shared" ref="J108" si="190">C107*E108*F107*H108/1000000*I107</f>
        <v>0.19985401184112686</v>
      </c>
      <c r="K108" s="391">
        <f>9.45345681/G107-0.14325844*G107+0.00124097*G107^2+5.98054622</f>
        <v>3.5598014520360097</v>
      </c>
      <c r="L108" s="621"/>
      <c r="M108" s="221">
        <f>C107*E108*F107*K108/1000000*L107</f>
        <v>79.254429618541934</v>
      </c>
      <c r="N108" s="391">
        <f>0.6037810576/G107-0.0052863845*G107+0.0000423961*G107^2+0.3189943526</f>
        <v>0.2377826293315011</v>
      </c>
      <c r="O108" s="621"/>
      <c r="P108" s="221">
        <f>C107*E108*F107*N108/1000000*O107</f>
        <v>21.363859698344267</v>
      </c>
      <c r="Q108" s="392">
        <f>1.5469182952/G107-0.0051393982*G107+0.0000404677*G107^2+0.2460289003</f>
        <v>0.2051177809551076</v>
      </c>
      <c r="R108" s="659"/>
      <c r="S108" s="393">
        <f t="shared" ref="S108" si="191">C107*E108*F107*Q108/1000000*R107</f>
        <v>36.898254488818331</v>
      </c>
      <c r="T108" s="665"/>
      <c r="U108" s="665"/>
      <c r="V108" s="665"/>
      <c r="W108" s="666"/>
    </row>
    <row r="109" spans="1:23" ht="17.25">
      <c r="A109" s="571"/>
      <c r="B109" s="540" t="s">
        <v>356</v>
      </c>
      <c r="C109" s="553">
        <f>'ｼｰﾄNO.3（表-3）59頁'!$F$30</f>
        <v>9</v>
      </c>
      <c r="D109" s="138" t="s">
        <v>65</v>
      </c>
      <c r="E109" s="294">
        <f>'ｼｰﾄNO.4（表-4）60頁'!S39</f>
        <v>753.34999999999991</v>
      </c>
      <c r="F109" s="543">
        <f>'ｼｰﾄNO.4（表-4）60頁'!O39/1000</f>
        <v>1.054</v>
      </c>
      <c r="G109" s="543">
        <f>F109/('ｼｰﾄNO.4（表-4）60頁'!T39/3600)</f>
        <v>30.6</v>
      </c>
      <c r="H109" s="219">
        <f>-2.71095565/G109-0.09453616*G109+0.00089493*G109^2+3.15403637</f>
        <v>1.0106132069045755</v>
      </c>
      <c r="I109" s="620">
        <v>6000</v>
      </c>
      <c r="J109" s="99">
        <f t="shared" ref="J109" si="192">C109*E109*F109*H109/1000000*I109</f>
        <v>43.332738168437615</v>
      </c>
      <c r="K109" s="390">
        <f>-0.25063622/G109-0.00657231*G109+0.00005332*G109^2+0.29056757</f>
        <v>0.13119087305620916</v>
      </c>
      <c r="L109" s="620">
        <v>1364600</v>
      </c>
      <c r="M109" s="99">
        <f>C109*E109*F109*K109/1000000*L109</f>
        <v>1279.3486114663865</v>
      </c>
      <c r="N109" s="390">
        <f>0.093055673/G109-0.0002682273*G109+0.00000218*G109^2+0.0173678037</f>
        <v>1.4242348185359476E-2</v>
      </c>
      <c r="O109" s="620">
        <v>5506900</v>
      </c>
      <c r="P109" s="99">
        <f>C109*E109*F109*N109/1000000*O109</f>
        <v>560.4910756012647</v>
      </c>
      <c r="Q109" s="390">
        <f>0.0505593958/G109-0.000357176*G109+0.0000031505*G109^2+0.0131649024</f>
        <v>6.8375868166013053E-3</v>
      </c>
      <c r="R109" s="658">
        <v>11025800</v>
      </c>
      <c r="S109" s="375">
        <f t="shared" ref="S109" si="193">C109*E109*F109*Q109/1000000*R109</f>
        <v>538.75693922824041</v>
      </c>
      <c r="T109" s="665"/>
      <c r="U109" s="665"/>
      <c r="V109" s="665"/>
      <c r="W109" s="666"/>
    </row>
    <row r="110" spans="1:23" ht="17.25">
      <c r="A110" s="571"/>
      <c r="B110" s="542"/>
      <c r="C110" s="566"/>
      <c r="D110" s="139" t="s">
        <v>66</v>
      </c>
      <c r="E110" s="297">
        <f>'ｼｰﾄNO.4（表-4）60頁'!S40</f>
        <v>39.650000000000006</v>
      </c>
      <c r="F110" s="544"/>
      <c r="G110" s="544"/>
      <c r="H110" s="218">
        <f>12.28697452/G109-0.05907844*G109+0.00051753*G109^2+2.69979197</f>
        <v>1.7781212118326797</v>
      </c>
      <c r="I110" s="621"/>
      <c r="J110" s="221">
        <f t="shared" ref="J110" si="194">C109*E110*F109*H110/1000000*I109</f>
        <v>4.0127206342943182</v>
      </c>
      <c r="K110" s="391">
        <f>9.45345681/G109-0.14325844*G109+0.00124097*G109^2+5.98054622</f>
        <v>3.0677691222588237</v>
      </c>
      <c r="L110" s="621"/>
      <c r="M110" s="221">
        <f>C109*E110*F109*K110/1000000*L109</f>
        <v>1574.5423665336648</v>
      </c>
      <c r="N110" s="391">
        <f>0.6037810576/G109-0.0052863845*G109+0.0000423961*G109^2+0.3189943526</f>
        <v>0.21666040620711108</v>
      </c>
      <c r="O110" s="621"/>
      <c r="P110" s="221">
        <f>C109*E110*F109*N110/1000000*O109</f>
        <v>448.75887974436336</v>
      </c>
      <c r="Q110" s="392">
        <f>1.5469182952/G109-0.0051393982*G109+0.0000404677*G109^2+0.2460289003</f>
        <v>0.17720853641605228</v>
      </c>
      <c r="R110" s="659"/>
      <c r="S110" s="221">
        <f t="shared" ref="S110" si="195">C109*E110*F109*Q110/1000000*R109</f>
        <v>734.88783970596694</v>
      </c>
      <c r="T110" s="665"/>
      <c r="U110" s="665"/>
      <c r="V110" s="665"/>
      <c r="W110" s="666"/>
    </row>
    <row r="111" spans="1:23" ht="17.25">
      <c r="A111" s="571"/>
      <c r="B111" s="540" t="s">
        <v>358</v>
      </c>
      <c r="C111" s="553">
        <f>'ｼｰﾄNO.3（表-3）59頁'!$F$30</f>
        <v>9</v>
      </c>
      <c r="D111" s="138" t="s">
        <v>65</v>
      </c>
      <c r="E111" s="294">
        <f>'ｼｰﾄNO.4（表-4）60頁'!S41</f>
        <v>39.9</v>
      </c>
      <c r="F111" s="543">
        <f>'ｼｰﾄNO.4（表-4）60頁'!O41/1000</f>
        <v>0.84799999999999998</v>
      </c>
      <c r="G111" s="543">
        <f>F111/('ｼｰﾄNO.4（表-4）60頁'!T41/3600)</f>
        <v>22.613333333333333</v>
      </c>
      <c r="H111" s="219">
        <f>-2.71095565/G111-0.09453616*G111+0.00089493*G111^2+3.15403637</f>
        <v>1.3540095598927391</v>
      </c>
      <c r="I111" s="620">
        <v>6000</v>
      </c>
      <c r="J111" s="99">
        <f t="shared" ref="J111" si="196">C111*E111*F111*H111/1000000*I111</f>
        <v>2.4739119500876714</v>
      </c>
      <c r="K111" s="390">
        <f>-0.25063622/G111-0.00657231*G111+0.00005332*G111^2+0.29056757</f>
        <v>0.15812804080870232</v>
      </c>
      <c r="L111" s="620">
        <v>1364600</v>
      </c>
      <c r="M111" s="99">
        <f>C111*E111*F111*K111/1000000*L111</f>
        <v>65.709099336071944</v>
      </c>
      <c r="N111" s="390">
        <f>0.093055673/G111-0.0002682273*G111+0.00000218*G111^2+0.0173678037</f>
        <v>1.6532141236016248E-2</v>
      </c>
      <c r="O111" s="620">
        <v>5506900</v>
      </c>
      <c r="P111" s="99">
        <f>C111*E111*F111*N111/1000000*O111</f>
        <v>27.723467876618166</v>
      </c>
      <c r="Q111" s="390">
        <f>0.0505593958/G111-0.000357176*G111+0.0000031505*G111^2+0.0131649024</f>
        <v>8.9348334326093265E-3</v>
      </c>
      <c r="R111" s="658">
        <v>11025800</v>
      </c>
      <c r="S111" s="394">
        <f t="shared" ref="S111" si="197">C111*E111*F111*Q111/1000000*R111</f>
        <v>29.999072557387411</v>
      </c>
      <c r="T111" s="665"/>
      <c r="U111" s="665"/>
      <c r="V111" s="665"/>
      <c r="W111" s="666"/>
    </row>
    <row r="112" spans="1:23" ht="17.25">
      <c r="A112" s="571"/>
      <c r="B112" s="542"/>
      <c r="C112" s="566"/>
      <c r="D112" s="139" t="s">
        <v>66</v>
      </c>
      <c r="E112" s="297">
        <f>'ｼｰﾄNO.4（表-4）60頁'!S42</f>
        <v>2.1</v>
      </c>
      <c r="F112" s="544"/>
      <c r="G112" s="544"/>
      <c r="H112" s="218">
        <f>12.28697452/G111-0.05907844*G111+0.00051753*G111^2+2.69979197</f>
        <v>2.1718280043001132</v>
      </c>
      <c r="I112" s="621"/>
      <c r="J112" s="221">
        <f t="shared" ref="J112" si="198">C111*E112*F111*H112/1000000*I111</f>
        <v>0.20884993074311264</v>
      </c>
      <c r="K112" s="391">
        <f>9.45345681/G111-0.14325844*G111+0.00124097*G111^2+5.98054622</f>
        <v>3.7936292257149553</v>
      </c>
      <c r="L112" s="621"/>
      <c r="M112" s="221">
        <f>C111*E112*F111*K112/1000000*L111</f>
        <v>82.969391653776412</v>
      </c>
      <c r="N112" s="391">
        <f>0.6037810576/G111-0.0052863845*G111+0.0000423961*G111^2+0.3189943526</f>
        <v>0.24783159171834482</v>
      </c>
      <c r="O112" s="621"/>
      <c r="P112" s="300">
        <f>C111*E112*F111*N112/1000000*O111</f>
        <v>21.873662798094248</v>
      </c>
      <c r="Q112" s="392">
        <f>1.5469182952/G111-0.0051393982*G111+0.0000404677*G111^2+0.2460289003</f>
        <v>0.21891100770692318</v>
      </c>
      <c r="R112" s="659"/>
      <c r="S112" s="393">
        <f t="shared" ref="S112" si="199">C111*E112*F111*Q112/1000000*R111</f>
        <v>38.684355616894578</v>
      </c>
      <c r="T112" s="665"/>
      <c r="U112" s="665"/>
      <c r="V112" s="665"/>
      <c r="W112" s="666"/>
    </row>
    <row r="113" spans="1:23" ht="17.25">
      <c r="A113" s="571"/>
      <c r="B113" s="540" t="s">
        <v>359</v>
      </c>
      <c r="C113" s="553">
        <f>'ｼｰﾄNO.3（表-3）59頁'!$F$30</f>
        <v>9</v>
      </c>
      <c r="D113" s="138" t="s">
        <v>65</v>
      </c>
      <c r="E113" s="294">
        <f>'ｼｰﾄNO.4（表-4）60頁'!S43</f>
        <v>147.25</v>
      </c>
      <c r="F113" s="543">
        <f>'ｼｰﾄNO.4（表-4）60頁'!O43/1000</f>
        <v>0.91</v>
      </c>
      <c r="G113" s="543">
        <f>F113/('ｼｰﾄNO.4（表-4）60頁'!T43/3600)</f>
        <v>30.055045871559635</v>
      </c>
      <c r="H113" s="219">
        <f>-2.71095565/G113-0.09453616*G113+0.00089493*G113^2+3.15403637</f>
        <v>1.030943504144429</v>
      </c>
      <c r="I113" s="620">
        <v>6000</v>
      </c>
      <c r="J113" s="99">
        <f t="shared" ref="J113" si="200">C113*E113*F113*H113/1000000*I113</f>
        <v>7.4597680186160291</v>
      </c>
      <c r="K113" s="390">
        <f>-0.25063622/G113-0.00657231*G113+0.00005332*G113^2+0.29056757</f>
        <v>0.13286151647220723</v>
      </c>
      <c r="L113" s="620">
        <v>1364600</v>
      </c>
      <c r="M113" s="99">
        <f>C113*E113*F113*K113/1000000*L113</f>
        <v>218.6471280922656</v>
      </c>
      <c r="N113" s="390">
        <f>0.093055673/G113-0.0002682273*G113+0.00000218*G113^2+0.0173678037</f>
        <v>1.4371601212148963E-2</v>
      </c>
      <c r="O113" s="620">
        <v>5506900</v>
      </c>
      <c r="P113" s="99">
        <f>C113*E113*F113*N113/1000000*O113</f>
        <v>95.44464196566976</v>
      </c>
      <c r="Q113" s="390">
        <f>0.0505593958/G113-0.000357176*G113+0.0000031505*G113^2+0.0131649024</f>
        <v>6.9580527421799696E-3</v>
      </c>
      <c r="R113" s="658">
        <v>11025800</v>
      </c>
      <c r="S113" s="375">
        <f t="shared" ref="S113" si="201">C113*E113*F113*Q113/1000000*R113</f>
        <v>92.520299940018546</v>
      </c>
      <c r="T113" s="665"/>
      <c r="U113" s="665"/>
      <c r="V113" s="665"/>
      <c r="W113" s="666"/>
    </row>
    <row r="114" spans="1:23" ht="17.25">
      <c r="A114" s="571"/>
      <c r="B114" s="542"/>
      <c r="C114" s="566"/>
      <c r="D114" s="139" t="s">
        <v>66</v>
      </c>
      <c r="E114" s="297">
        <f>'ｼｰﾄNO.4（表-4）60頁'!S44</f>
        <v>7.75</v>
      </c>
      <c r="F114" s="544"/>
      <c r="G114" s="544"/>
      <c r="H114" s="218">
        <f>12.28697452/G113-0.05907844*G113+0.00051753*G113^2+2.69979197</f>
        <v>1.8004902841038075</v>
      </c>
      <c r="I114" s="621"/>
      <c r="J114" s="221">
        <f t="shared" ref="J114" si="202">C113*E114*F113*H114/1000000*I113</f>
        <v>0.68568971734667361</v>
      </c>
      <c r="K114" s="391">
        <f>9.45345681/G113-0.14325844*G113+0.00124097*G113^2+5.98054622</f>
        <v>3.11042070390894</v>
      </c>
      <c r="L114" s="621"/>
      <c r="M114" s="221">
        <f>C113*E114*F113*K114/1000000*L113</f>
        <v>269.40776267464264</v>
      </c>
      <c r="N114" s="391">
        <f>0.6037810576/G113-0.0052863845*G113+0.0000423961*G113^2+0.3189943526</f>
        <v>0.21849764061943486</v>
      </c>
      <c r="O114" s="621"/>
      <c r="P114" s="221">
        <f>C113*E114*F113*N114/1000000*O113</f>
        <v>76.372946499504039</v>
      </c>
      <c r="Q114" s="392">
        <f>1.5469182952/G113-0.0051393982*G113+0.0000404677*G113^2+0.2460289003</f>
        <v>0.17958826277182416</v>
      </c>
      <c r="R114" s="659"/>
      <c r="S114" s="221">
        <f t="shared" ref="S114" si="203">C113*E114*F113*Q114/1000000*R113</f>
        <v>125.68216812965736</v>
      </c>
      <c r="T114" s="665"/>
      <c r="U114" s="665"/>
      <c r="V114" s="665"/>
      <c r="W114" s="666"/>
    </row>
    <row r="115" spans="1:23" ht="17.25">
      <c r="A115" s="571"/>
      <c r="B115" s="540" t="s">
        <v>360</v>
      </c>
      <c r="C115" s="553">
        <f>'ｼｰﾄNO.3（表-3）59頁'!$F$30</f>
        <v>9</v>
      </c>
      <c r="D115" s="138" t="s">
        <v>65</v>
      </c>
      <c r="E115" s="294">
        <f>'ｼｰﾄNO.4（表-4）60頁'!S45</f>
        <v>54.15</v>
      </c>
      <c r="F115" s="543">
        <f>'ｼｰﾄNO.4（表-4）60頁'!O45/1000</f>
        <v>0.76100000000000001</v>
      </c>
      <c r="G115" s="543">
        <f>F115/('ｼｰﾄNO.4（表-4）60頁'!T45/3600)</f>
        <v>22.641322314049585</v>
      </c>
      <c r="H115" s="219">
        <f>-2.71095565/G115-0.09453616*G115+0.00089493*G115^2+3.15403637</f>
        <v>1.3526453340932798</v>
      </c>
      <c r="I115" s="620">
        <v>6000</v>
      </c>
      <c r="J115" s="99">
        <f t="shared" ref="J115" si="204">C115*E115*F115*H115/1000000*I115</f>
        <v>3.009960638502263</v>
      </c>
      <c r="K115" s="390">
        <f>-0.25063622/G115-0.00657231*G115+0.00005332*G115^2+0.29056757</f>
        <v>0.15802532673956798</v>
      </c>
      <c r="L115" s="620">
        <v>1364600</v>
      </c>
      <c r="M115" s="99">
        <f>C115*E115*F115*K115/1000000*L115</f>
        <v>79.975633903976131</v>
      </c>
      <c r="N115" s="390">
        <f>0.093055673/G115-0.0002682273*G115+0.00000218*G115^2+0.0173678037</f>
        <v>1.6522308062949704E-2</v>
      </c>
      <c r="O115" s="620">
        <v>5506900</v>
      </c>
      <c r="P115" s="394">
        <f>C115*E115*F115*N115/1000000*O115</f>
        <v>33.744541593523081</v>
      </c>
      <c r="Q115" s="390">
        <f>0.0505593958/G115-0.000357176*G115+0.0000031505*G115^2+0.0131649024</f>
        <v>8.9260630618954936E-3</v>
      </c>
      <c r="R115" s="658">
        <v>11025800</v>
      </c>
      <c r="S115" s="394">
        <f t="shared" ref="S115" si="205">C115*E115*F115*Q115/1000000*R115</f>
        <v>36.500237334720801</v>
      </c>
      <c r="T115" s="665"/>
      <c r="U115" s="665"/>
      <c r="V115" s="665"/>
      <c r="W115" s="666"/>
    </row>
    <row r="116" spans="1:23" ht="17.25">
      <c r="A116" s="571"/>
      <c r="B116" s="542"/>
      <c r="C116" s="566"/>
      <c r="D116" s="139" t="s">
        <v>66</v>
      </c>
      <c r="E116" s="297">
        <f>'ｼｰﾄNO.4（表-4）60頁'!S46</f>
        <v>2.85</v>
      </c>
      <c r="F116" s="544"/>
      <c r="G116" s="544"/>
      <c r="H116" s="218">
        <f>12.28697452/G115-0.05907844*G115+0.00051753*G115^2+2.69979197</f>
        <v>2.1701582938483104</v>
      </c>
      <c r="I116" s="621"/>
      <c r="J116" s="221">
        <f t="shared" ref="J116" si="206">C115*E116*F115*H116/1000000*I115</f>
        <v>0.2541643820430971</v>
      </c>
      <c r="K116" s="391">
        <f>9.45345681/G115-0.14325844*G115+0.00124097*G115^2+5.98054622</f>
        <v>3.7906746331889405</v>
      </c>
      <c r="L116" s="621"/>
      <c r="M116" s="221">
        <f>C115*E116*F115*K116/1000000*L115</f>
        <v>100.97035941474519</v>
      </c>
      <c r="N116" s="391">
        <f>0.6037810576/G115-0.0052863845*G115+0.0000423961*G115^2+0.3189943526</f>
        <v>0.24770432489329391</v>
      </c>
      <c r="O116" s="621"/>
      <c r="P116" s="221">
        <f>C115*E116*F115*N116/1000000*O115</f>
        <v>26.6264216916239</v>
      </c>
      <c r="Q116" s="392">
        <f>1.5469182952/G115-0.0051393982*G115+0.0000404677*G115^2+0.2460289003</f>
        <v>0.21873385436050466</v>
      </c>
      <c r="R116" s="659"/>
      <c r="S116" s="393">
        <f t="shared" ref="S116" si="207">C115*E116*F115*Q116/1000000*R115</f>
        <v>47.0758469765792</v>
      </c>
      <c r="T116" s="665"/>
      <c r="U116" s="665"/>
      <c r="V116" s="665"/>
      <c r="W116" s="666"/>
    </row>
    <row r="117" spans="1:23" ht="17.25">
      <c r="A117" s="571"/>
      <c r="B117" s="540" t="s">
        <v>232</v>
      </c>
      <c r="C117" s="553">
        <f>'ｼｰﾄNO.3（表-3）59頁'!$F$30</f>
        <v>9</v>
      </c>
      <c r="D117" s="138" t="s">
        <v>65</v>
      </c>
      <c r="E117" s="294">
        <f>'ｼｰﾄNO.4（表-4）60頁'!S47</f>
        <v>158.65</v>
      </c>
      <c r="F117" s="543">
        <f>'ｼｰﾄNO.4（表-4）60頁'!O47/1000</f>
        <v>0.84799999999999998</v>
      </c>
      <c r="G117" s="543">
        <f>F117/('ｼｰﾄNO.4（表-4）60頁'!T47/3600)</f>
        <v>27.752727272727274</v>
      </c>
      <c r="H117" s="219">
        <f>-2.71095565/G117-0.09453616*G117+0.00089493*G117^2+3.15403637</f>
        <v>1.1220051084994243</v>
      </c>
      <c r="I117" s="620">
        <v>6000</v>
      </c>
      <c r="J117" s="99">
        <f t="shared" ref="J117" si="208">C117*E117*F117*H117/1000000*I117</f>
        <v>8.1512558103415547</v>
      </c>
      <c r="K117" s="390">
        <f>-0.25063622/G117-0.00657231*G117+0.00005332*G117^2+0.29056757</f>
        <v>0.14020479834032479</v>
      </c>
      <c r="L117" s="620">
        <v>1364600</v>
      </c>
      <c r="M117" s="99">
        <f>C117*E117*F117*K117/1000000*L117</f>
        <v>231.6576690649122</v>
      </c>
      <c r="N117" s="390">
        <f>0.093055673/G117-0.0002682273*G117+0.00000218*G117^2+0.0173678037</f>
        <v>1.4955858884601478E-2</v>
      </c>
      <c r="O117" s="620">
        <v>5506900</v>
      </c>
      <c r="P117" s="99">
        <f>C117*E117*F117*N117/1000000*O117</f>
        <v>99.72337933332777</v>
      </c>
      <c r="Q117" s="390">
        <f>0.0505593958/G117-0.000357176*G117+0.0000031505*G117^2+0.0131649024</f>
        <v>7.5006342486333456E-3</v>
      </c>
      <c r="R117" s="658">
        <v>11025800</v>
      </c>
      <c r="S117" s="375">
        <f t="shared" ref="S117" si="209">C117*E117*F117*Q117/1000000*R117</f>
        <v>100.13514641204659</v>
      </c>
      <c r="T117" s="665"/>
      <c r="U117" s="665"/>
      <c r="V117" s="665"/>
      <c r="W117" s="666"/>
    </row>
    <row r="118" spans="1:23" ht="17.25">
      <c r="A118" s="571"/>
      <c r="B118" s="542"/>
      <c r="C118" s="566"/>
      <c r="D118" s="139" t="s">
        <v>66</v>
      </c>
      <c r="E118" s="297">
        <f>'ｼｰﾄNO.4（表-4）60頁'!S48</f>
        <v>8.35</v>
      </c>
      <c r="F118" s="544"/>
      <c r="G118" s="544"/>
      <c r="H118" s="218">
        <f>12.28697452/G117-0.05907844*G117+0.00051753*G117^2+2.69979197</f>
        <v>1.9015432666737011</v>
      </c>
      <c r="I118" s="621"/>
      <c r="J118" s="221">
        <f t="shared" ref="J118" si="210">C117*E118*F117*H118/1000000*I117</f>
        <v>0.72708016838380962</v>
      </c>
      <c r="K118" s="391">
        <f>9.45345681/G117-0.14325844*G117+0.00124097*G117^2+5.98054622</f>
        <v>3.3011777457107159</v>
      </c>
      <c r="L118" s="621"/>
      <c r="M118" s="221">
        <f>C117*E118*F117*K118/1000000*L117</f>
        <v>287.07747177998772</v>
      </c>
      <c r="N118" s="391">
        <f>0.6037810576/G117-0.0052863845*G117+0.0000423961*G117^2+0.3189943526</f>
        <v>0.22669256740568483</v>
      </c>
      <c r="O118" s="621"/>
      <c r="P118" s="221">
        <f>C117*E118*F117*N118/1000000*O117</f>
        <v>79.555334928478416</v>
      </c>
      <c r="Q118" s="392">
        <f>1.5469182952/G117-0.0051393982*G117+0.0000404677*G117^2+0.2460289003</f>
        <v>0.190304692944187</v>
      </c>
      <c r="R118" s="659"/>
      <c r="S118" s="221">
        <f t="shared" ref="S118" si="211">C117*E118*F117*Q118/1000000*R117</f>
        <v>133.71632920900811</v>
      </c>
      <c r="T118" s="665"/>
      <c r="U118" s="665"/>
      <c r="V118" s="665"/>
      <c r="W118" s="666"/>
    </row>
    <row r="119" spans="1:23" ht="17.25">
      <c r="A119" s="571"/>
      <c r="B119" s="540" t="s">
        <v>233</v>
      </c>
      <c r="C119" s="553">
        <f>'ｼｰﾄNO.3（表-3）59頁'!$F$30</f>
        <v>9</v>
      </c>
      <c r="D119" s="138" t="s">
        <v>65</v>
      </c>
      <c r="E119" s="294">
        <f>'ｼｰﾄNO.4（表-4）60頁'!S49</f>
        <v>738.15</v>
      </c>
      <c r="F119" s="543">
        <f>'ｼｰﾄNO.4（表-4）60頁'!O49/1000</f>
        <v>0.61699999999999999</v>
      </c>
      <c r="G119" s="543">
        <f>F119/('ｼｰﾄNO.4（表-4）60頁'!T49/3600)</f>
        <v>27.087804878048779</v>
      </c>
      <c r="H119" s="219">
        <f>-2.71095565/G119-0.09453616*G119+0.00089493*G119^2+3.15403637</f>
        <v>1.1498331610692509</v>
      </c>
      <c r="I119" s="620">
        <v>6000</v>
      </c>
      <c r="J119" s="99">
        <f t="shared" ref="J119" si="212">C119*E119*F119*H119/1000000*I119</f>
        <v>28.278630771441986</v>
      </c>
      <c r="K119" s="390">
        <f>-0.25063622/G119-0.00657231*G119+0.00005332*G119^2+0.29056757</f>
        <v>0.14240889225716619</v>
      </c>
      <c r="L119" s="620">
        <v>1364600</v>
      </c>
      <c r="M119" s="99">
        <f>C119*E119*F119*K119/1000000*L119</f>
        <v>796.55317449075415</v>
      </c>
      <c r="N119" s="390">
        <f>0.093055673/G119-0.0002682273*G119+0.00000218*G119^2+0.0173678037</f>
        <v>1.5137022719626959E-2</v>
      </c>
      <c r="O119" s="620">
        <v>5506900</v>
      </c>
      <c r="P119" s="99">
        <f>C119*E119*F119*N119/1000000*O119</f>
        <v>341.68030848427588</v>
      </c>
      <c r="Q119" s="390">
        <f>0.0505593958/G119-0.000357176*G119+0.0000031505*G119^2+0.0131649024</f>
        <v>7.6679656699207913E-3</v>
      </c>
      <c r="R119" s="658">
        <v>11025800</v>
      </c>
      <c r="S119" s="394">
        <f t="shared" ref="S119" si="213">C119*E119*F119*Q119/1000000*R119</f>
        <v>346.54733852967382</v>
      </c>
      <c r="T119" s="665"/>
      <c r="U119" s="665"/>
      <c r="V119" s="665"/>
      <c r="W119" s="666"/>
    </row>
    <row r="120" spans="1:23" ht="17.25">
      <c r="A120" s="571"/>
      <c r="B120" s="542"/>
      <c r="C120" s="566"/>
      <c r="D120" s="139" t="s">
        <v>66</v>
      </c>
      <c r="E120" s="297">
        <f>'ｼｰﾄNO.4（表-4）60頁'!S50</f>
        <v>38.85</v>
      </c>
      <c r="F120" s="544"/>
      <c r="G120" s="544"/>
      <c r="H120" s="218">
        <f>12.28697452/G119-0.05907844*G119+0.00051753*G119^2+2.69979197</f>
        <v>1.9328219392155921</v>
      </c>
      <c r="I120" s="621"/>
      <c r="J120" s="221">
        <f t="shared" ref="J120" si="214">C119*E120*F119*H120/1000000*I119</f>
        <v>2.5018530292550012</v>
      </c>
      <c r="K120" s="391">
        <f>9.45345681/G119-0.14325844*G119+0.00124097*G119^2+5.98054622</f>
        <v>3.3595433546140332</v>
      </c>
      <c r="L120" s="621"/>
      <c r="M120" s="221">
        <f>C119*E120*F119*K120/1000000*L119</f>
        <v>989.01826820899225</v>
      </c>
      <c r="N120" s="391">
        <f>0.6037810576/G119-0.0052863845*G119+0.0000423961*G119^2+0.3189943526</f>
        <v>0.22919567839342808</v>
      </c>
      <c r="O120" s="621"/>
      <c r="P120" s="221">
        <f>C119*E120*F119*N120/1000000*O119</f>
        <v>272.29038833511652</v>
      </c>
      <c r="Q120" s="392">
        <f>1.5469182952/G119-0.0051393982*G119+0.0000404677*G119^2+0.2460289003</f>
        <v>0.19361458064850001</v>
      </c>
      <c r="R120" s="659"/>
      <c r="S120" s="393">
        <f t="shared" ref="S120" si="215">C119*E120*F119*Q120/1000000*R119</f>
        <v>460.53948069253465</v>
      </c>
      <c r="T120" s="665"/>
      <c r="U120" s="665"/>
      <c r="V120" s="665"/>
      <c r="W120" s="666"/>
    </row>
    <row r="121" spans="1:23" ht="17.25">
      <c r="A121" s="571"/>
      <c r="B121" s="540" t="s">
        <v>255</v>
      </c>
      <c r="C121" s="553">
        <f>'ｼｰﾄNO.3（表-3）59頁'!$F$30</f>
        <v>9</v>
      </c>
      <c r="D121" s="138" t="s">
        <v>65</v>
      </c>
      <c r="E121" s="294">
        <f>'ｼｰﾄNO.4（表-4）60頁'!S51</f>
        <v>133</v>
      </c>
      <c r="F121" s="543">
        <f>'ｼｰﾄNO.4（表-4）60頁'!O51/1000</f>
        <v>0.82399999999999995</v>
      </c>
      <c r="G121" s="543">
        <f>F121/('ｼｰﾄNO.4（表-4）60頁'!T51/3600)</f>
        <v>28.523076923076921</v>
      </c>
      <c r="H121" s="219">
        <f>-2.71095565/G121-0.09453616*G121+0.00089493*G121^2+3.15403637</f>
        <v>1.090614460615126</v>
      </c>
      <c r="I121" s="620">
        <v>6000</v>
      </c>
      <c r="J121" s="99">
        <f t="shared" ref="J121" si="216">C121*E121*F121*H121/1000000*I121</f>
        <v>6.4542214782575762</v>
      </c>
      <c r="K121" s="390">
        <f>-0.25063622/G121-0.00657231*G121+0.00005332*G121^2+0.29056757</f>
        <v>0.1376972627690112</v>
      </c>
      <c r="L121" s="620">
        <v>1364600</v>
      </c>
      <c r="M121" s="99">
        <f>C121*E121*F121*K121/1000000*L121</f>
        <v>185.33269294035446</v>
      </c>
      <c r="N121" s="390">
        <f>0.093055673/G121-0.0002682273*G121+0.00000218*G121^2+0.0173678037</f>
        <v>1.4753179146136358E-2</v>
      </c>
      <c r="O121" s="620">
        <v>5506900</v>
      </c>
      <c r="P121" s="99">
        <f>C121*E121*F121*N121/1000000*O121</f>
        <v>80.133510413074973</v>
      </c>
      <c r="Q121" s="390">
        <f>0.0505593958/G121-0.000357176*G121+0.0000031505*G121^2+0.0131649024</f>
        <v>7.3128619003372843E-3</v>
      </c>
      <c r="R121" s="658">
        <v>11025800</v>
      </c>
      <c r="S121" s="375">
        <f t="shared" ref="S121" si="217">C121*E121*F121*Q121/1000000*R121</f>
        <v>79.527777292467448</v>
      </c>
      <c r="T121" s="665"/>
      <c r="U121" s="665"/>
      <c r="V121" s="665"/>
      <c r="W121" s="666"/>
    </row>
    <row r="122" spans="1:23" ht="17.25">
      <c r="A122" s="571"/>
      <c r="B122" s="542"/>
      <c r="C122" s="566"/>
      <c r="D122" s="139" t="s">
        <v>66</v>
      </c>
      <c r="E122" s="297">
        <f>'ｼｰﾄNO.4（表-4）60頁'!S52</f>
        <v>7</v>
      </c>
      <c r="F122" s="544"/>
      <c r="G122" s="544"/>
      <c r="H122" s="218">
        <f>12.28697452/G121-0.05907844*G121+0.00051753*G121^2+2.69979197</f>
        <v>1.8665109593380467</v>
      </c>
      <c r="I122" s="621"/>
      <c r="J122" s="221">
        <f t="shared" ref="J122" si="218">C121*E122*F121*H122/1000000*I121</f>
        <v>0.58136590152694001</v>
      </c>
      <c r="K122" s="391">
        <f>9.45345681/G121-0.14325844*G121+0.00124097*G121^2+5.98054622</f>
        <v>3.2354174852760047</v>
      </c>
      <c r="L122" s="621"/>
      <c r="M122" s="221">
        <f>C121*E122*F121*K122/1000000*L121</f>
        <v>229.19411195956124</v>
      </c>
      <c r="N122" s="391">
        <f>0.6037810576/G121-0.0052863845*G121+0.0000423961*G121^2+0.3189943526</f>
        <v>0.22387058289813042</v>
      </c>
      <c r="O122" s="621"/>
      <c r="P122" s="221">
        <f>C121*E122*F121*N122/1000000*O121</f>
        <v>63.998822177668508</v>
      </c>
      <c r="Q122" s="392">
        <f>1.5469182952/G121-0.0051393982*G121+0.0000404677*G121^2+0.2460289003</f>
        <v>0.18659451238229957</v>
      </c>
      <c r="R122" s="659"/>
      <c r="S122" s="221">
        <f t="shared" ref="S122" si="219">C121*E122*F121*Q122/1000000*R121</f>
        <v>106.80134914832047</v>
      </c>
      <c r="T122" s="665"/>
      <c r="U122" s="665"/>
      <c r="V122" s="665"/>
      <c r="W122" s="666"/>
    </row>
    <row r="123" spans="1:23" ht="17.25">
      <c r="A123" s="571"/>
      <c r="B123" s="540" t="s">
        <v>362</v>
      </c>
      <c r="C123" s="553">
        <f>'ｼｰﾄNO.3（表-3）59頁'!$F$30</f>
        <v>9</v>
      </c>
      <c r="D123" s="138" t="s">
        <v>65</v>
      </c>
      <c r="E123" s="294">
        <f>'ｼｰﾄNO.4（表-4）60頁'!S53</f>
        <v>47.5</v>
      </c>
      <c r="F123" s="543">
        <f>'ｼｰﾄNO.4（表-4）60頁'!O53/1000</f>
        <v>0.91</v>
      </c>
      <c r="G123" s="543">
        <f>F123/('ｼｰﾄNO.4（表-4）60頁'!T53/3600)</f>
        <v>22.90909090909091</v>
      </c>
      <c r="H123" s="219">
        <f>-2.71095565/G123-0.09453616*G123+0.00089493*G123^2+3.15403637</f>
        <v>1.3396464522592815</v>
      </c>
      <c r="I123" s="620">
        <v>6000</v>
      </c>
      <c r="J123" s="99">
        <f t="shared" ref="J123" si="220">C123*E123*F123*H123/1000000*I123</f>
        <v>3.1269357665410022</v>
      </c>
      <c r="K123" s="390">
        <f>-0.25063622/G123-0.00657231*G123+0.00005332*G123^2+0.29056757</f>
        <v>0.15704519892234028</v>
      </c>
      <c r="L123" s="620">
        <v>1364600</v>
      </c>
      <c r="M123" s="99">
        <f>C123*E123*F123*K123/1000000*L123</f>
        <v>83.369566313787772</v>
      </c>
      <c r="N123" s="390">
        <f>0.093055673/G123-0.0002682273*G123+0.00000218*G123^2+0.0173678037</f>
        <v>1.6429035733051291E-2</v>
      </c>
      <c r="O123" s="620">
        <v>5506900</v>
      </c>
      <c r="P123" s="99">
        <f>C123*E123*F123*N123/1000000*O123</f>
        <v>35.196280952096281</v>
      </c>
      <c r="Q123" s="390">
        <f>0.0505593958/G123-0.000357176*G123+0.0000031505*G123^2+0.0131649024</f>
        <v>8.8427484176374117E-3</v>
      </c>
      <c r="R123" s="658">
        <v>11025800</v>
      </c>
      <c r="S123" s="394">
        <f t="shared" ref="S123" si="221">C123*E123*F123*Q123/1000000*R123</f>
        <v>37.929305530127159</v>
      </c>
      <c r="T123" s="665"/>
      <c r="U123" s="665"/>
      <c r="V123" s="665"/>
      <c r="W123" s="666"/>
    </row>
    <row r="124" spans="1:23" ht="17.25">
      <c r="A124" s="571"/>
      <c r="B124" s="542"/>
      <c r="C124" s="566"/>
      <c r="D124" s="139" t="s">
        <v>66</v>
      </c>
      <c r="E124" s="297">
        <f>'ｼｰﾄNO.4（表-4）60頁'!S54</f>
        <v>2.5</v>
      </c>
      <c r="F124" s="544"/>
      <c r="G124" s="544"/>
      <c r="H124" s="218">
        <f>12.28697452/G123-0.05907844*G123+0.00051753*G123^2+2.69979197</f>
        <v>2.154308237381608</v>
      </c>
      <c r="I124" s="621"/>
      <c r="J124" s="221">
        <f t="shared" ref="J124" si="222">C123*E124*F123*H124/1000000*I123</f>
        <v>0.26465676696233059</v>
      </c>
      <c r="K124" s="391">
        <f>9.45345681/G123-0.14325844*G123+0.00124097*G123^2+5.98054622</f>
        <v>3.7625703620867768</v>
      </c>
      <c r="L124" s="621"/>
      <c r="M124" s="221">
        <f>C123*E124*F123*K124/1000000*L123</f>
        <v>105.12691199222152</v>
      </c>
      <c r="N124" s="391">
        <f>0.6037810576/G123-0.0052863845*G123+0.0000423961*G123^2+0.3189943526</f>
        <v>0.24649420636382</v>
      </c>
      <c r="O124" s="621"/>
      <c r="P124" s="221">
        <f>C123*E124*F123*N124/1000000*O123</f>
        <v>27.793152899385248</v>
      </c>
      <c r="Q124" s="392">
        <f>1.5469182952/G123-0.0051393982*G123+0.0000404677*G123^2+0.2460289003</f>
        <v>0.2170526901967598</v>
      </c>
      <c r="R124" s="659"/>
      <c r="S124" s="393">
        <f t="shared" ref="S124" si="223">C123*E124*F123*Q124/1000000*R123</f>
        <v>49.000351318425125</v>
      </c>
      <c r="T124" s="665"/>
      <c r="U124" s="665"/>
      <c r="V124" s="665"/>
      <c r="W124" s="666"/>
    </row>
    <row r="125" spans="1:23" ht="17.25">
      <c r="A125" s="571"/>
      <c r="B125" s="540" t="s">
        <v>236</v>
      </c>
      <c r="C125" s="553">
        <f>'ｼｰﾄNO.3（表-3）59頁'!$F$30</f>
        <v>9</v>
      </c>
      <c r="D125" s="138" t="s">
        <v>65</v>
      </c>
      <c r="E125" s="294">
        <f>'ｼｰﾄNO.4（表-4）60頁'!S55</f>
        <v>743.84999999999991</v>
      </c>
      <c r="F125" s="543">
        <f>'ｼｰﾄNO.4（表-4）60頁'!O55/1000</f>
        <v>0.61699999999999999</v>
      </c>
      <c r="G125" s="543">
        <f>F125/('ｼｰﾄNO.4（表-4）60頁'!T55/3600)</f>
        <v>27.087804878048779</v>
      </c>
      <c r="H125" s="219">
        <f>-2.71095565/G125-0.09453616*G125+0.00089493*G125^2+3.15403637</f>
        <v>1.1498331610692509</v>
      </c>
      <c r="I125" s="620">
        <v>6000</v>
      </c>
      <c r="J125" s="99">
        <f t="shared" ref="J125" si="224">C125*E125*F125*H125/1000000*I125</f>
        <v>28.496998576626869</v>
      </c>
      <c r="K125" s="390">
        <f>-0.25063622/G125-0.00657231*G125+0.00005332*G125^2+0.29056757</f>
        <v>0.14240889225716619</v>
      </c>
      <c r="L125" s="620">
        <v>1364600</v>
      </c>
      <c r="M125" s="99">
        <f>C125*E125*F125*K125/1000000*L125</f>
        <v>802.70416425516157</v>
      </c>
      <c r="N125" s="390">
        <f>0.093055673/G125-0.0002682273*G125+0.00000218*G125^2+0.0173678037</f>
        <v>1.5137022719626959E-2</v>
      </c>
      <c r="O125" s="620">
        <v>5506900</v>
      </c>
      <c r="P125" s="99">
        <f>C125*E125*F125*N125/1000000*O125</f>
        <v>344.31876646484949</v>
      </c>
      <c r="Q125" s="390">
        <f>0.0505593958/G125-0.000357176*G125+0.0000031505*G125^2+0.0131649024</f>
        <v>7.6679656699207913E-3</v>
      </c>
      <c r="R125" s="658">
        <v>11025800</v>
      </c>
      <c r="S125" s="375">
        <f t="shared" ref="S125" si="225">C125*E125*F125*Q125/1000000*R125</f>
        <v>349.22337975384124</v>
      </c>
      <c r="T125" s="665"/>
      <c r="U125" s="665"/>
      <c r="V125" s="665"/>
      <c r="W125" s="666"/>
    </row>
    <row r="126" spans="1:23" ht="17.25">
      <c r="A126" s="572"/>
      <c r="B126" s="542"/>
      <c r="C126" s="566"/>
      <c r="D126" s="139" t="s">
        <v>66</v>
      </c>
      <c r="E126" s="297">
        <f>'ｼｰﾄNO.4（表-4）60頁'!S56</f>
        <v>39.150000000000006</v>
      </c>
      <c r="F126" s="544"/>
      <c r="G126" s="544"/>
      <c r="H126" s="218">
        <f>12.28697452/G125-0.05907844*G125+0.00051753*G125^2+2.69979197</f>
        <v>1.9328219392155921</v>
      </c>
      <c r="I126" s="621"/>
      <c r="J126" s="221">
        <f t="shared" ref="J126" si="226">C125*E126*F125*H126/1000000*I125</f>
        <v>2.5211723576662366</v>
      </c>
      <c r="K126" s="391">
        <f>9.45345681/G125-0.14325844*G125+0.00124097*G125^2+5.98054622</f>
        <v>3.3595433546140332</v>
      </c>
      <c r="L126" s="621"/>
      <c r="M126" s="221">
        <f>C125*E126*F125*K126/1000000*L125</f>
        <v>996.65547491330858</v>
      </c>
      <c r="N126" s="391">
        <f>0.6037810576/G125-0.0052863845*G125+0.0000423961*G125^2+0.3189943526</f>
        <v>0.22919567839342808</v>
      </c>
      <c r="O126" s="621"/>
      <c r="P126" s="221">
        <f>C125*E126*F125*N126/1000000*O125</f>
        <v>274.39301681646873</v>
      </c>
      <c r="Q126" s="391">
        <f>1.5469182952/G125-0.0051393982*G125+0.0000404677*G125^2+0.2460289003</f>
        <v>0.19361458064850001</v>
      </c>
      <c r="R126" s="659"/>
      <c r="S126" s="221">
        <f t="shared" ref="S126" si="227">C125*E126*F125*Q126/1000000*R125</f>
        <v>464.09577011873188</v>
      </c>
      <c r="T126" s="617"/>
      <c r="U126" s="617"/>
      <c r="V126" s="617"/>
      <c r="W126" s="667"/>
    </row>
    <row r="127" spans="1:23">
      <c r="E127" s="81"/>
      <c r="F127" s="81"/>
      <c r="G127" s="81"/>
      <c r="H127" s="96"/>
      <c r="I127" s="81"/>
      <c r="J127" s="81"/>
      <c r="K127" s="141"/>
      <c r="N127" s="141"/>
      <c r="Q127" s="141"/>
    </row>
  </sheetData>
  <mergeCells count="509">
    <mergeCell ref="W7:W126"/>
    <mergeCell ref="B57:B58"/>
    <mergeCell ref="C57:C58"/>
    <mergeCell ref="F57:F58"/>
    <mergeCell ref="G57:G58"/>
    <mergeCell ref="I57:I58"/>
    <mergeCell ref="L57:L58"/>
    <mergeCell ref="O57:O58"/>
    <mergeCell ref="B59:B60"/>
    <mergeCell ref="C59:C60"/>
    <mergeCell ref="I55:I56"/>
    <mergeCell ref="L55:L56"/>
    <mergeCell ref="O55:O56"/>
    <mergeCell ref="T55:T78"/>
    <mergeCell ref="U55:U78"/>
    <mergeCell ref="V55:V78"/>
    <mergeCell ref="L61:L62"/>
    <mergeCell ref="O61:O62"/>
    <mergeCell ref="O63:O64"/>
    <mergeCell ref="O65:O66"/>
    <mergeCell ref="I59:I60"/>
    <mergeCell ref="L59:L60"/>
    <mergeCell ref="O59:O60"/>
    <mergeCell ref="L65:L66"/>
    <mergeCell ref="D3:E3"/>
    <mergeCell ref="D4:E4"/>
    <mergeCell ref="D5:E5"/>
    <mergeCell ref="A6:B6"/>
    <mergeCell ref="A55:A78"/>
    <mergeCell ref="B55:B56"/>
    <mergeCell ref="C55:C56"/>
    <mergeCell ref="F55:F56"/>
    <mergeCell ref="G55:G56"/>
    <mergeCell ref="F59:F60"/>
    <mergeCell ref="G59:G60"/>
    <mergeCell ref="B69:B70"/>
    <mergeCell ref="C69:C70"/>
    <mergeCell ref="F69:F70"/>
    <mergeCell ref="G69:G70"/>
    <mergeCell ref="B73:B74"/>
    <mergeCell ref="C73:C74"/>
    <mergeCell ref="F73:F74"/>
    <mergeCell ref="G73:G74"/>
    <mergeCell ref="B77:B78"/>
    <mergeCell ref="C77:C78"/>
    <mergeCell ref="F77:F78"/>
    <mergeCell ref="G77:G78"/>
    <mergeCell ref="G35:G36"/>
    <mergeCell ref="R55:R56"/>
    <mergeCell ref="R67:R68"/>
    <mergeCell ref="B61:B62"/>
    <mergeCell ref="C61:C62"/>
    <mergeCell ref="F61:F62"/>
    <mergeCell ref="G61:G62"/>
    <mergeCell ref="I61:I62"/>
    <mergeCell ref="B65:B66"/>
    <mergeCell ref="C65:C66"/>
    <mergeCell ref="F65:F66"/>
    <mergeCell ref="G65:G66"/>
    <mergeCell ref="I65:I66"/>
    <mergeCell ref="B63:B64"/>
    <mergeCell ref="C63:C64"/>
    <mergeCell ref="F63:F64"/>
    <mergeCell ref="G63:G64"/>
    <mergeCell ref="I63:I64"/>
    <mergeCell ref="L63:L64"/>
    <mergeCell ref="O67:O68"/>
    <mergeCell ref="R65:R66"/>
    <mergeCell ref="R63:R64"/>
    <mergeCell ref="R61:R62"/>
    <mergeCell ref="R59:R60"/>
    <mergeCell ref="R57:R58"/>
    <mergeCell ref="I69:I70"/>
    <mergeCell ref="L69:L70"/>
    <mergeCell ref="O69:O70"/>
    <mergeCell ref="B67:B68"/>
    <mergeCell ref="C67:C68"/>
    <mergeCell ref="F67:F68"/>
    <mergeCell ref="G67:G68"/>
    <mergeCell ref="I67:I68"/>
    <mergeCell ref="L67:L68"/>
    <mergeCell ref="I73:I74"/>
    <mergeCell ref="L73:L74"/>
    <mergeCell ref="O73:O74"/>
    <mergeCell ref="B71:B72"/>
    <mergeCell ref="C71:C72"/>
    <mergeCell ref="F71:F72"/>
    <mergeCell ref="G71:G72"/>
    <mergeCell ref="I71:I72"/>
    <mergeCell ref="L71:L72"/>
    <mergeCell ref="O71:O72"/>
    <mergeCell ref="I77:I78"/>
    <mergeCell ref="L77:L78"/>
    <mergeCell ref="O77:O78"/>
    <mergeCell ref="B75:B76"/>
    <mergeCell ref="C75:C76"/>
    <mergeCell ref="F75:F76"/>
    <mergeCell ref="G75:G76"/>
    <mergeCell ref="I75:I76"/>
    <mergeCell ref="L75:L76"/>
    <mergeCell ref="O75:O76"/>
    <mergeCell ref="L31:L32"/>
    <mergeCell ref="O31:O32"/>
    <mergeCell ref="T31:T54"/>
    <mergeCell ref="U31:U54"/>
    <mergeCell ref="V31:V54"/>
    <mergeCell ref="B33:B34"/>
    <mergeCell ref="C33:C34"/>
    <mergeCell ref="F33:F34"/>
    <mergeCell ref="G33:G34"/>
    <mergeCell ref="I33:I34"/>
    <mergeCell ref="B31:B32"/>
    <mergeCell ref="C31:C32"/>
    <mergeCell ref="F31:F32"/>
    <mergeCell ref="G31:G32"/>
    <mergeCell ref="I31:I32"/>
    <mergeCell ref="B37:B38"/>
    <mergeCell ref="C37:C38"/>
    <mergeCell ref="F37:F38"/>
    <mergeCell ref="G37:G38"/>
    <mergeCell ref="L33:L34"/>
    <mergeCell ref="O33:O34"/>
    <mergeCell ref="B35:B36"/>
    <mergeCell ref="C35:C36"/>
    <mergeCell ref="F35:F36"/>
    <mergeCell ref="I35:I36"/>
    <mergeCell ref="L35:L36"/>
    <mergeCell ref="O35:O36"/>
    <mergeCell ref="I37:I38"/>
    <mergeCell ref="L37:L38"/>
    <mergeCell ref="O37:O38"/>
    <mergeCell ref="B39:B40"/>
    <mergeCell ref="C39:C40"/>
    <mergeCell ref="F39:F40"/>
    <mergeCell ref="G39:G40"/>
    <mergeCell ref="I39:I40"/>
    <mergeCell ref="L39:L40"/>
    <mergeCell ref="O39:O40"/>
    <mergeCell ref="O41:O42"/>
    <mergeCell ref="B43:B44"/>
    <mergeCell ref="C43:C44"/>
    <mergeCell ref="F43:F44"/>
    <mergeCell ref="G43:G44"/>
    <mergeCell ref="I43:I44"/>
    <mergeCell ref="L43:L44"/>
    <mergeCell ref="O43:O44"/>
    <mergeCell ref="B41:B42"/>
    <mergeCell ref="C41:C42"/>
    <mergeCell ref="F41:F42"/>
    <mergeCell ref="G41:G42"/>
    <mergeCell ref="I41:I42"/>
    <mergeCell ref="L41:L42"/>
    <mergeCell ref="O45:O46"/>
    <mergeCell ref="B47:B48"/>
    <mergeCell ref="C47:C48"/>
    <mergeCell ref="F47:F48"/>
    <mergeCell ref="G47:G48"/>
    <mergeCell ref="I47:I48"/>
    <mergeCell ref="L47:L48"/>
    <mergeCell ref="O47:O48"/>
    <mergeCell ref="B45:B46"/>
    <mergeCell ref="C45:C46"/>
    <mergeCell ref="F45:F46"/>
    <mergeCell ref="G45:G46"/>
    <mergeCell ref="I45:I46"/>
    <mergeCell ref="L45:L46"/>
    <mergeCell ref="C51:C52"/>
    <mergeCell ref="F51:F52"/>
    <mergeCell ref="G51:G52"/>
    <mergeCell ref="I51:I52"/>
    <mergeCell ref="L51:L52"/>
    <mergeCell ref="O51:O52"/>
    <mergeCell ref="B49:B50"/>
    <mergeCell ref="C49:C50"/>
    <mergeCell ref="F49:F50"/>
    <mergeCell ref="G49:G50"/>
    <mergeCell ref="I49:I50"/>
    <mergeCell ref="L49:L50"/>
    <mergeCell ref="F9:F10"/>
    <mergeCell ref="G9:G10"/>
    <mergeCell ref="I9:I10"/>
    <mergeCell ref="L9:L10"/>
    <mergeCell ref="O9:O10"/>
    <mergeCell ref="O53:O54"/>
    <mergeCell ref="A7:A30"/>
    <mergeCell ref="B7:B8"/>
    <mergeCell ref="C7:C8"/>
    <mergeCell ref="F7:F8"/>
    <mergeCell ref="G7:G8"/>
    <mergeCell ref="I7:I8"/>
    <mergeCell ref="L7:L8"/>
    <mergeCell ref="O7:O8"/>
    <mergeCell ref="B11:B12"/>
    <mergeCell ref="B53:B54"/>
    <mergeCell ref="C53:C54"/>
    <mergeCell ref="F53:F54"/>
    <mergeCell ref="G53:G54"/>
    <mergeCell ref="I53:I54"/>
    <mergeCell ref="L53:L54"/>
    <mergeCell ref="A31:A54"/>
    <mergeCell ref="O49:O50"/>
    <mergeCell ref="B51:B52"/>
    <mergeCell ref="C11:C12"/>
    <mergeCell ref="F11:F12"/>
    <mergeCell ref="G11:G12"/>
    <mergeCell ref="I11:I12"/>
    <mergeCell ref="L11:L12"/>
    <mergeCell ref="O11:O12"/>
    <mergeCell ref="T7:T30"/>
    <mergeCell ref="U7:U30"/>
    <mergeCell ref="V7:V30"/>
    <mergeCell ref="O13:O14"/>
    <mergeCell ref="O17:O18"/>
    <mergeCell ref="O21:O22"/>
    <mergeCell ref="O25:O26"/>
    <mergeCell ref="R7:R8"/>
    <mergeCell ref="R29:R30"/>
    <mergeCell ref="R27:R28"/>
    <mergeCell ref="R25:R26"/>
    <mergeCell ref="R23:R24"/>
    <mergeCell ref="R21:R22"/>
    <mergeCell ref="R19:R20"/>
    <mergeCell ref="R17:R18"/>
    <mergeCell ref="R15:R16"/>
    <mergeCell ref="R13:R14"/>
    <mergeCell ref="R11:R12"/>
    <mergeCell ref="B15:B16"/>
    <mergeCell ref="C15:C16"/>
    <mergeCell ref="F15:F16"/>
    <mergeCell ref="G15:G16"/>
    <mergeCell ref="I15:I16"/>
    <mergeCell ref="L15:L16"/>
    <mergeCell ref="O15:O16"/>
    <mergeCell ref="B13:B14"/>
    <mergeCell ref="C13:C14"/>
    <mergeCell ref="F13:F14"/>
    <mergeCell ref="G13:G14"/>
    <mergeCell ref="I13:I14"/>
    <mergeCell ref="L13:L14"/>
    <mergeCell ref="B19:B20"/>
    <mergeCell ref="C19:C20"/>
    <mergeCell ref="F19:F20"/>
    <mergeCell ref="G19:G20"/>
    <mergeCell ref="I19:I20"/>
    <mergeCell ref="L19:L20"/>
    <mergeCell ref="O19:O20"/>
    <mergeCell ref="B17:B18"/>
    <mergeCell ref="C17:C18"/>
    <mergeCell ref="F17:F18"/>
    <mergeCell ref="G17:G18"/>
    <mergeCell ref="I17:I18"/>
    <mergeCell ref="L17:L18"/>
    <mergeCell ref="B23:B24"/>
    <mergeCell ref="C23:C24"/>
    <mergeCell ref="F23:F24"/>
    <mergeCell ref="G23:G24"/>
    <mergeCell ref="I23:I24"/>
    <mergeCell ref="L23:L24"/>
    <mergeCell ref="O23:O24"/>
    <mergeCell ref="B21:B22"/>
    <mergeCell ref="C21:C22"/>
    <mergeCell ref="F21:F22"/>
    <mergeCell ref="G21:G22"/>
    <mergeCell ref="I21:I22"/>
    <mergeCell ref="L21:L22"/>
    <mergeCell ref="B27:B28"/>
    <mergeCell ref="C27:C28"/>
    <mergeCell ref="F27:F28"/>
    <mergeCell ref="G27:G28"/>
    <mergeCell ref="I27:I28"/>
    <mergeCell ref="L27:L28"/>
    <mergeCell ref="O27:O28"/>
    <mergeCell ref="B25:B26"/>
    <mergeCell ref="C25:C26"/>
    <mergeCell ref="F25:F26"/>
    <mergeCell ref="G25:G26"/>
    <mergeCell ref="I25:I26"/>
    <mergeCell ref="L25:L26"/>
    <mergeCell ref="B81:B82"/>
    <mergeCell ref="C81:C82"/>
    <mergeCell ref="F81:F82"/>
    <mergeCell ref="G81:G82"/>
    <mergeCell ref="I81:I82"/>
    <mergeCell ref="L81:L82"/>
    <mergeCell ref="O81:O82"/>
    <mergeCell ref="O29:O30"/>
    <mergeCell ref="A79:A102"/>
    <mergeCell ref="B79:B80"/>
    <mergeCell ref="C79:C80"/>
    <mergeCell ref="F79:F80"/>
    <mergeCell ref="G79:G80"/>
    <mergeCell ref="I79:I80"/>
    <mergeCell ref="L79:L80"/>
    <mergeCell ref="O79:O80"/>
    <mergeCell ref="B83:B84"/>
    <mergeCell ref="B29:B30"/>
    <mergeCell ref="C29:C30"/>
    <mergeCell ref="F29:F30"/>
    <mergeCell ref="G29:G30"/>
    <mergeCell ref="I29:I30"/>
    <mergeCell ref="L29:L30"/>
    <mergeCell ref="C83:C84"/>
    <mergeCell ref="F83:F84"/>
    <mergeCell ref="G83:G84"/>
    <mergeCell ref="I83:I84"/>
    <mergeCell ref="L83:L84"/>
    <mergeCell ref="O83:O84"/>
    <mergeCell ref="T79:T102"/>
    <mergeCell ref="U79:U102"/>
    <mergeCell ref="V79:V102"/>
    <mergeCell ref="O85:O86"/>
    <mergeCell ref="O89:O90"/>
    <mergeCell ref="O93:O94"/>
    <mergeCell ref="O97:O9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B87:B88"/>
    <mergeCell ref="C87:C88"/>
    <mergeCell ref="F87:F88"/>
    <mergeCell ref="G87:G88"/>
    <mergeCell ref="I87:I88"/>
    <mergeCell ref="L87:L88"/>
    <mergeCell ref="O87:O88"/>
    <mergeCell ref="B85:B86"/>
    <mergeCell ref="C85:C86"/>
    <mergeCell ref="F85:F86"/>
    <mergeCell ref="G85:G86"/>
    <mergeCell ref="I85:I86"/>
    <mergeCell ref="L85:L86"/>
    <mergeCell ref="B91:B92"/>
    <mergeCell ref="C91:C92"/>
    <mergeCell ref="F91:F92"/>
    <mergeCell ref="G91:G92"/>
    <mergeCell ref="I91:I92"/>
    <mergeCell ref="L91:L92"/>
    <mergeCell ref="O91:O92"/>
    <mergeCell ref="B89:B90"/>
    <mergeCell ref="C89:C90"/>
    <mergeCell ref="F89:F90"/>
    <mergeCell ref="G89:G90"/>
    <mergeCell ref="I89:I90"/>
    <mergeCell ref="L89:L90"/>
    <mergeCell ref="B95:B96"/>
    <mergeCell ref="C95:C96"/>
    <mergeCell ref="F95:F96"/>
    <mergeCell ref="G95:G96"/>
    <mergeCell ref="I95:I96"/>
    <mergeCell ref="L95:L96"/>
    <mergeCell ref="O95:O96"/>
    <mergeCell ref="B93:B94"/>
    <mergeCell ref="C93:C94"/>
    <mergeCell ref="F93:F94"/>
    <mergeCell ref="G93:G94"/>
    <mergeCell ref="I93:I94"/>
    <mergeCell ref="L93:L94"/>
    <mergeCell ref="B99:B100"/>
    <mergeCell ref="C99:C100"/>
    <mergeCell ref="F99:F100"/>
    <mergeCell ref="G99:G100"/>
    <mergeCell ref="I99:I100"/>
    <mergeCell ref="L99:L100"/>
    <mergeCell ref="O99:O100"/>
    <mergeCell ref="B97:B98"/>
    <mergeCell ref="C97:C98"/>
    <mergeCell ref="F97:F98"/>
    <mergeCell ref="G97:G98"/>
    <mergeCell ref="I97:I98"/>
    <mergeCell ref="L97:L98"/>
    <mergeCell ref="O101:O102"/>
    <mergeCell ref="A103:A126"/>
    <mergeCell ref="B103:B104"/>
    <mergeCell ref="C103:C104"/>
    <mergeCell ref="F103:F104"/>
    <mergeCell ref="G103:G104"/>
    <mergeCell ref="I103:I104"/>
    <mergeCell ref="L103:L104"/>
    <mergeCell ref="O103:O104"/>
    <mergeCell ref="B107:B108"/>
    <mergeCell ref="B101:B102"/>
    <mergeCell ref="C101:C102"/>
    <mergeCell ref="F101:F102"/>
    <mergeCell ref="G101:G102"/>
    <mergeCell ref="I101:I102"/>
    <mergeCell ref="L101:L102"/>
    <mergeCell ref="C107:C108"/>
    <mergeCell ref="I113:I114"/>
    <mergeCell ref="L113:L114"/>
    <mergeCell ref="B111:B112"/>
    <mergeCell ref="C111:C112"/>
    <mergeCell ref="F111:F112"/>
    <mergeCell ref="I123:I124"/>
    <mergeCell ref="L123:L124"/>
    <mergeCell ref="R109:R110"/>
    <mergeCell ref="R111:R112"/>
    <mergeCell ref="R113:R114"/>
    <mergeCell ref="R115:R116"/>
    <mergeCell ref="B105:B106"/>
    <mergeCell ref="C105:C106"/>
    <mergeCell ref="F105:F106"/>
    <mergeCell ref="G105:G106"/>
    <mergeCell ref="I105:I106"/>
    <mergeCell ref="L105:L106"/>
    <mergeCell ref="O105:O106"/>
    <mergeCell ref="F107:F108"/>
    <mergeCell ref="G107:G108"/>
    <mergeCell ref="I107:I108"/>
    <mergeCell ref="L107:L108"/>
    <mergeCell ref="O107:O108"/>
    <mergeCell ref="B109:B110"/>
    <mergeCell ref="C109:C110"/>
    <mergeCell ref="F109:F110"/>
    <mergeCell ref="L109:L110"/>
    <mergeCell ref="B113:B114"/>
    <mergeCell ref="C113:C114"/>
    <mergeCell ref="F113:F114"/>
    <mergeCell ref="G113:G114"/>
    <mergeCell ref="T103:T126"/>
    <mergeCell ref="U103:U126"/>
    <mergeCell ref="V103:V126"/>
    <mergeCell ref="O109:O110"/>
    <mergeCell ref="O113:O114"/>
    <mergeCell ref="O117:O118"/>
    <mergeCell ref="O125:O126"/>
    <mergeCell ref="G119:G120"/>
    <mergeCell ref="I119:I120"/>
    <mergeCell ref="L119:L120"/>
    <mergeCell ref="O119:O120"/>
    <mergeCell ref="O121:O122"/>
    <mergeCell ref="O123:O124"/>
    <mergeCell ref="L121:L122"/>
    <mergeCell ref="O115:O116"/>
    <mergeCell ref="O111:O112"/>
    <mergeCell ref="R103:R104"/>
    <mergeCell ref="R105:R106"/>
    <mergeCell ref="R107:R108"/>
    <mergeCell ref="G111:G112"/>
    <mergeCell ref="I111:I112"/>
    <mergeCell ref="L111:L112"/>
    <mergeCell ref="G109:G110"/>
    <mergeCell ref="I109:I110"/>
    <mergeCell ref="F123:F124"/>
    <mergeCell ref="B121:B122"/>
    <mergeCell ref="C121:C122"/>
    <mergeCell ref="F121:F122"/>
    <mergeCell ref="G121:G122"/>
    <mergeCell ref="I121:I122"/>
    <mergeCell ref="B115:B116"/>
    <mergeCell ref="C115:C116"/>
    <mergeCell ref="F115:F116"/>
    <mergeCell ref="G115:G116"/>
    <mergeCell ref="I115:I116"/>
    <mergeCell ref="B9:B10"/>
    <mergeCell ref="L115:L116"/>
    <mergeCell ref="R117:R118"/>
    <mergeCell ref="R119:R120"/>
    <mergeCell ref="R121:R122"/>
    <mergeCell ref="R123:R124"/>
    <mergeCell ref="R125:R126"/>
    <mergeCell ref="B119:B120"/>
    <mergeCell ref="C119:C120"/>
    <mergeCell ref="F119:F120"/>
    <mergeCell ref="B117:B118"/>
    <mergeCell ref="C117:C118"/>
    <mergeCell ref="F117:F118"/>
    <mergeCell ref="G117:G118"/>
    <mergeCell ref="I117:I118"/>
    <mergeCell ref="L117:L118"/>
    <mergeCell ref="B125:B126"/>
    <mergeCell ref="C125:C126"/>
    <mergeCell ref="F125:F126"/>
    <mergeCell ref="G125:G126"/>
    <mergeCell ref="I125:I126"/>
    <mergeCell ref="L125:L126"/>
    <mergeCell ref="B123:B124"/>
    <mergeCell ref="C123:C124"/>
    <mergeCell ref="C9:C10"/>
    <mergeCell ref="G123:G124"/>
    <mergeCell ref="W3:W6"/>
    <mergeCell ref="B3:B5"/>
    <mergeCell ref="A3:A5"/>
    <mergeCell ref="R9:R10"/>
    <mergeCell ref="R53:R54"/>
    <mergeCell ref="R51:R52"/>
    <mergeCell ref="R49:R50"/>
    <mergeCell ref="R47:R48"/>
    <mergeCell ref="R45:R46"/>
    <mergeCell ref="R43:R44"/>
    <mergeCell ref="R41:R42"/>
    <mergeCell ref="R39:R40"/>
    <mergeCell ref="R37:R38"/>
    <mergeCell ref="R35:R36"/>
    <mergeCell ref="R33:R34"/>
    <mergeCell ref="R31:R32"/>
    <mergeCell ref="R77:R78"/>
    <mergeCell ref="R75:R76"/>
    <mergeCell ref="R73:R74"/>
    <mergeCell ref="R71:R72"/>
    <mergeCell ref="R69:R70"/>
    <mergeCell ref="D6:E6"/>
  </mergeCells>
  <phoneticPr fontId="3"/>
  <pageMargins left="0.51181102362204722" right="0.51181102362204722" top="0.74803149606299213" bottom="0.35433070866141736" header="0.31496062992125984" footer="0.31496062992125984"/>
  <pageSetup paperSize="8" scale="53" orientation="portrait" r:id="rId1"/>
  <ignoredErrors>
    <ignoredError sqref="H127:S127 O79:P126 O31:P54 L79:M126 L31:M54 S79:S126 I79:J126 S31:S54 I31:J54 H7:S30 H55:S78 H31:H54 K31:K54 H79:H126 K79:K126 N31:N54 N79:N126 Q31:R54 Q79:R126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activeCell="N1" sqref="N1"/>
    </sheetView>
  </sheetViews>
  <sheetFormatPr defaultColWidth="9" defaultRowHeight="13.5"/>
  <cols>
    <col min="1" max="1" width="7.5" style="75" customWidth="1"/>
    <col min="2" max="2" width="17" style="75" customWidth="1"/>
    <col min="3" max="3" width="6.5" style="75" customWidth="1"/>
    <col min="4" max="4" width="9.125" style="75" customWidth="1"/>
    <col min="5" max="5" width="11.625" style="120" customWidth="1"/>
    <col min="6" max="7" width="9.5" style="120" customWidth="1"/>
    <col min="8" max="8" width="17.875" style="120" customWidth="1"/>
    <col min="9" max="9" width="9.5" style="120" customWidth="1"/>
    <col min="10" max="10" width="14.375" style="120" customWidth="1"/>
    <col min="11" max="11" width="13.625" style="120" customWidth="1"/>
    <col min="12" max="12" width="13" style="120" customWidth="1"/>
    <col min="13" max="13" width="13" style="124" customWidth="1"/>
    <col min="14" max="16384" width="9" style="75"/>
  </cols>
  <sheetData>
    <row r="1" spans="1:13" ht="15.6" customHeight="1">
      <c r="A1" s="186" t="s">
        <v>729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M1" s="227"/>
    </row>
    <row r="2" spans="1:13" ht="15.6" customHeight="1">
      <c r="A2" s="130"/>
      <c r="B2" s="147"/>
      <c r="C2" s="147"/>
      <c r="D2" s="147"/>
      <c r="E2" s="147"/>
      <c r="F2" s="147"/>
      <c r="G2" s="147"/>
      <c r="I2" s="147"/>
      <c r="J2" s="147"/>
      <c r="K2" s="147"/>
      <c r="L2" s="147"/>
      <c r="M2" s="142"/>
    </row>
    <row r="3" spans="1:13" ht="19.5" customHeight="1">
      <c r="A3" s="668" t="s">
        <v>294</v>
      </c>
      <c r="B3" s="668"/>
      <c r="C3" s="668"/>
      <c r="D3" s="668"/>
      <c r="E3" s="668"/>
      <c r="G3" s="669"/>
      <c r="H3" s="669"/>
      <c r="I3" s="669"/>
      <c r="J3" s="669"/>
      <c r="K3" s="669"/>
      <c r="L3" s="669"/>
    </row>
    <row r="4" spans="1:13" s="247" customFormat="1" ht="33" customHeight="1">
      <c r="A4" s="649" t="s">
        <v>627</v>
      </c>
      <c r="B4" s="656" t="s">
        <v>560</v>
      </c>
      <c r="C4" s="242" t="s">
        <v>122</v>
      </c>
      <c r="D4" s="235" t="s">
        <v>121</v>
      </c>
      <c r="E4" s="106" t="s">
        <v>132</v>
      </c>
      <c r="F4" s="106" t="s">
        <v>133</v>
      </c>
      <c r="G4" s="148" t="s">
        <v>296</v>
      </c>
      <c r="H4" s="148" t="s">
        <v>153</v>
      </c>
      <c r="I4" s="236" t="s">
        <v>295</v>
      </c>
      <c r="J4" s="236" t="s">
        <v>158</v>
      </c>
      <c r="K4" s="222" t="s">
        <v>152</v>
      </c>
      <c r="L4" s="244" t="s">
        <v>124</v>
      </c>
    </row>
    <row r="5" spans="1:13" s="247" customFormat="1" ht="18.75" customHeight="1">
      <c r="A5" s="632"/>
      <c r="B5" s="656"/>
      <c r="C5" s="88" t="s">
        <v>108</v>
      </c>
      <c r="D5" s="88" t="s">
        <v>564</v>
      </c>
      <c r="E5" s="108" t="s">
        <v>131</v>
      </c>
      <c r="F5" s="108" t="s">
        <v>134</v>
      </c>
      <c r="G5" s="108" t="s">
        <v>151</v>
      </c>
      <c r="H5" s="108" t="s">
        <v>698</v>
      </c>
      <c r="I5" s="88" t="s">
        <v>315</v>
      </c>
      <c r="J5" s="88" t="s">
        <v>699</v>
      </c>
      <c r="K5" s="223" t="s">
        <v>490</v>
      </c>
      <c r="L5" s="88" t="s">
        <v>700</v>
      </c>
    </row>
    <row r="6" spans="1:13" s="247" customFormat="1" ht="36.75" customHeight="1">
      <c r="A6" s="632"/>
      <c r="B6" s="656"/>
      <c r="C6" s="238" t="s">
        <v>57</v>
      </c>
      <c r="D6" s="246" t="s">
        <v>60</v>
      </c>
      <c r="E6" s="110" t="s">
        <v>62</v>
      </c>
      <c r="F6" s="110" t="s">
        <v>70</v>
      </c>
      <c r="G6" s="110" t="s">
        <v>75</v>
      </c>
      <c r="H6" s="112" t="s">
        <v>855</v>
      </c>
      <c r="I6" s="246" t="s">
        <v>79</v>
      </c>
      <c r="J6" s="239" t="s">
        <v>767</v>
      </c>
      <c r="K6" s="149" t="s">
        <v>80</v>
      </c>
      <c r="L6" s="239" t="s">
        <v>717</v>
      </c>
    </row>
    <row r="7" spans="1:13" s="247" customFormat="1" ht="30" customHeight="1">
      <c r="A7" s="635" t="s">
        <v>313</v>
      </c>
      <c r="B7" s="636"/>
      <c r="C7" s="243" t="s">
        <v>741</v>
      </c>
      <c r="D7" s="239" t="s">
        <v>741</v>
      </c>
      <c r="E7" s="112" t="s">
        <v>702</v>
      </c>
      <c r="F7" s="112" t="s">
        <v>703</v>
      </c>
      <c r="G7" s="112" t="s">
        <v>672</v>
      </c>
      <c r="H7" s="239" t="s">
        <v>422</v>
      </c>
      <c r="I7" s="112" t="s">
        <v>673</v>
      </c>
      <c r="J7" s="239" t="s">
        <v>422</v>
      </c>
      <c r="K7" s="111" t="s">
        <v>581</v>
      </c>
      <c r="L7" s="239" t="s">
        <v>502</v>
      </c>
    </row>
    <row r="8" spans="1:13" ht="38.450000000000003" customHeight="1">
      <c r="A8" s="639" t="s">
        <v>305</v>
      </c>
      <c r="B8" s="198" t="s">
        <v>947</v>
      </c>
      <c r="C8" s="402">
        <f>'ｼｰﾄNO.3（表-3）59頁'!F32</f>
        <v>11</v>
      </c>
      <c r="D8" s="403">
        <f>'ｼｰﾄNO.3（表-3）59頁'!F30</f>
        <v>9</v>
      </c>
      <c r="E8" s="413">
        <f>100*100*3.14</f>
        <v>31400</v>
      </c>
      <c r="F8" s="413">
        <v>4000</v>
      </c>
      <c r="G8" s="414">
        <v>2.58</v>
      </c>
      <c r="H8" s="404">
        <f>E8/1000000*F8/G8</f>
        <v>48.682170542635653</v>
      </c>
      <c r="I8" s="415">
        <v>1.4E-3</v>
      </c>
      <c r="J8" s="405">
        <f>(C8*D8)/(365*24)*I8</f>
        <v>1.5821917808219179E-5</v>
      </c>
      <c r="K8" s="384">
        <v>6063</v>
      </c>
      <c r="L8" s="406">
        <f>H8*J8*K8</f>
        <v>4.6699972602739726</v>
      </c>
      <c r="M8" s="193"/>
    </row>
    <row r="9" spans="1:13" ht="44.45" customHeight="1">
      <c r="A9" s="627"/>
      <c r="B9" s="198" t="s">
        <v>948</v>
      </c>
      <c r="C9" s="402">
        <f>'ｼｰﾄNO.3（表-3）59頁'!F33</f>
        <v>18</v>
      </c>
      <c r="D9" s="403">
        <f>'ｼｰﾄNO.3（表-3）59頁'!F30</f>
        <v>9</v>
      </c>
      <c r="E9" s="413">
        <f>100*100*3.14*2</f>
        <v>62800</v>
      </c>
      <c r="F9" s="413">
        <v>4000</v>
      </c>
      <c r="G9" s="414">
        <v>2.58</v>
      </c>
      <c r="H9" s="404">
        <f t="shared" ref="H9:H10" si="0">E9/1000000*F9/G9</f>
        <v>97.364341085271306</v>
      </c>
      <c r="I9" s="415">
        <v>1.4E-3</v>
      </c>
      <c r="J9" s="405">
        <f t="shared" ref="J9:J10" si="1">(C9*D9)/(365*24)*I9</f>
        <v>2.5890410958904108E-5</v>
      </c>
      <c r="K9" s="384">
        <v>6063</v>
      </c>
      <c r="L9" s="406">
        <f t="shared" ref="L9:L10" si="2">H9*J9*K9</f>
        <v>15.283627397260272</v>
      </c>
      <c r="M9" s="75"/>
    </row>
    <row r="10" spans="1:13" ht="38.450000000000003" customHeight="1">
      <c r="A10" s="627"/>
      <c r="B10" s="198" t="s">
        <v>949</v>
      </c>
      <c r="C10" s="402">
        <f>'ｼｰﾄNO.3（表-3）59頁'!F34</f>
        <v>38</v>
      </c>
      <c r="D10" s="403">
        <f>'ｼｰﾄNO.3（表-3）59頁'!F30</f>
        <v>9</v>
      </c>
      <c r="E10" s="413">
        <f t="shared" ref="E10" si="3">100*100*3.14</f>
        <v>31400</v>
      </c>
      <c r="F10" s="413">
        <v>4000</v>
      </c>
      <c r="G10" s="414">
        <v>2.58</v>
      </c>
      <c r="H10" s="404">
        <f t="shared" si="0"/>
        <v>48.682170542635653</v>
      </c>
      <c r="I10" s="415">
        <v>1.4E-3</v>
      </c>
      <c r="J10" s="405">
        <f t="shared" si="1"/>
        <v>5.4657534246575339E-5</v>
      </c>
      <c r="K10" s="384">
        <v>6063</v>
      </c>
      <c r="L10" s="407">
        <f t="shared" si="2"/>
        <v>16.132717808219173</v>
      </c>
      <c r="M10" s="75"/>
    </row>
    <row r="11" spans="1:13" ht="23.45" customHeight="1">
      <c r="A11" s="628"/>
      <c r="B11" s="198" t="s">
        <v>125</v>
      </c>
      <c r="C11" s="361">
        <f>SUM(C8:C10)</f>
        <v>67</v>
      </c>
      <c r="D11" s="77"/>
      <c r="E11" s="122"/>
      <c r="F11" s="122"/>
      <c r="G11" s="143"/>
      <c r="H11" s="143"/>
      <c r="I11" s="144"/>
      <c r="J11" s="224"/>
      <c r="K11" s="122"/>
      <c r="L11" s="408">
        <f>SUM(L8:L10)</f>
        <v>36.086342465753418</v>
      </c>
      <c r="M11" s="75"/>
    </row>
    <row r="12" spans="1:13" ht="43.9" customHeight="1">
      <c r="A12" s="626" t="s">
        <v>306</v>
      </c>
      <c r="B12" s="198" t="s">
        <v>941</v>
      </c>
      <c r="C12" s="402">
        <f>'ｼｰﾄNO.3（表-3）59頁'!F35</f>
        <v>16</v>
      </c>
      <c r="D12" s="403">
        <f>'ｼｰﾄNO.3（表-3）59頁'!F30</f>
        <v>9</v>
      </c>
      <c r="E12" s="413">
        <f t="shared" ref="E12:E16" si="4">100*100*3.14</f>
        <v>31400</v>
      </c>
      <c r="F12" s="413">
        <v>4000</v>
      </c>
      <c r="G12" s="414">
        <v>2.58</v>
      </c>
      <c r="H12" s="404">
        <f t="shared" ref="H12:H16" si="5">E12/1000000*F12/G12</f>
        <v>48.682170542635653</v>
      </c>
      <c r="I12" s="415">
        <v>2.7000000000000001E-3</v>
      </c>
      <c r="J12" s="405">
        <f t="shared" ref="J12:J16" si="6">(C12*D12)/(365*24)*I12</f>
        <v>4.4383561643835611E-5</v>
      </c>
      <c r="K12" s="384">
        <v>6063</v>
      </c>
      <c r="L12" s="406">
        <f>H12*J12*K12</f>
        <v>13.100252054794517</v>
      </c>
      <c r="M12" s="75"/>
    </row>
    <row r="13" spans="1:13" ht="58.15" customHeight="1">
      <c r="A13" s="627"/>
      <c r="B13" s="198" t="s">
        <v>950</v>
      </c>
      <c r="C13" s="402">
        <f>'ｼｰﾄNO.3（表-3）59頁'!F36</f>
        <v>12</v>
      </c>
      <c r="D13" s="403">
        <f>'ｼｰﾄNO.3（表-3）59頁'!F30</f>
        <v>9</v>
      </c>
      <c r="E13" s="413">
        <f>100*100*3.14*2</f>
        <v>62800</v>
      </c>
      <c r="F13" s="413">
        <v>4000</v>
      </c>
      <c r="G13" s="414">
        <v>2.58</v>
      </c>
      <c r="H13" s="404">
        <f t="shared" si="5"/>
        <v>97.364341085271306</v>
      </c>
      <c r="I13" s="415">
        <v>2.7000000000000001E-3</v>
      </c>
      <c r="J13" s="405">
        <f t="shared" si="6"/>
        <v>3.328767123287671E-5</v>
      </c>
      <c r="K13" s="384">
        <v>6063</v>
      </c>
      <c r="L13" s="406">
        <f t="shared" ref="L13:L16" si="7">H13*J13*K13</f>
        <v>19.650378082191779</v>
      </c>
      <c r="M13" s="75"/>
    </row>
    <row r="14" spans="1:13" ht="44.45" customHeight="1">
      <c r="A14" s="627"/>
      <c r="B14" s="198" t="s">
        <v>951</v>
      </c>
      <c r="C14" s="402">
        <f>'ｼｰﾄNO.3（表-3）59頁'!F37</f>
        <v>16</v>
      </c>
      <c r="D14" s="403">
        <f>'ｼｰﾄNO.3（表-3）59頁'!F30</f>
        <v>9</v>
      </c>
      <c r="E14" s="413">
        <f t="shared" si="4"/>
        <v>31400</v>
      </c>
      <c r="F14" s="413">
        <v>4000</v>
      </c>
      <c r="G14" s="414">
        <v>2.58</v>
      </c>
      <c r="H14" s="404">
        <f t="shared" si="5"/>
        <v>48.682170542635653</v>
      </c>
      <c r="I14" s="415">
        <v>2.7000000000000001E-3</v>
      </c>
      <c r="J14" s="405">
        <f t="shared" si="6"/>
        <v>4.4383561643835611E-5</v>
      </c>
      <c r="K14" s="384">
        <v>6063</v>
      </c>
      <c r="L14" s="406">
        <f t="shared" si="7"/>
        <v>13.100252054794517</v>
      </c>
      <c r="M14" s="75"/>
    </row>
    <row r="15" spans="1:13" ht="44.45" customHeight="1">
      <c r="A15" s="627"/>
      <c r="B15" s="198" t="s">
        <v>952</v>
      </c>
      <c r="C15" s="402">
        <f>'ｼｰﾄNO.3（表-3）59頁'!F38</f>
        <v>18</v>
      </c>
      <c r="D15" s="403">
        <f>'ｼｰﾄNO.3（表-3）59頁'!F30</f>
        <v>9</v>
      </c>
      <c r="E15" s="413">
        <f t="shared" si="4"/>
        <v>31400</v>
      </c>
      <c r="F15" s="413">
        <v>4000</v>
      </c>
      <c r="G15" s="414">
        <v>2.58</v>
      </c>
      <c r="H15" s="404">
        <f t="shared" si="5"/>
        <v>48.682170542635653</v>
      </c>
      <c r="I15" s="415">
        <v>2.7000000000000001E-3</v>
      </c>
      <c r="J15" s="405">
        <f t="shared" si="6"/>
        <v>4.9931506849315075E-5</v>
      </c>
      <c r="K15" s="384">
        <v>6063</v>
      </c>
      <c r="L15" s="406">
        <f t="shared" si="7"/>
        <v>14.737783561643838</v>
      </c>
      <c r="M15" s="75"/>
    </row>
    <row r="16" spans="1:13" ht="44.45" customHeight="1">
      <c r="A16" s="627"/>
      <c r="B16" s="198" t="s">
        <v>953</v>
      </c>
      <c r="C16" s="402">
        <f>'ｼｰﾄNO.3（表-3）59頁'!F39</f>
        <v>12</v>
      </c>
      <c r="D16" s="403">
        <f>'ｼｰﾄNO.3（表-3）59頁'!F30</f>
        <v>9</v>
      </c>
      <c r="E16" s="413">
        <f t="shared" si="4"/>
        <v>31400</v>
      </c>
      <c r="F16" s="413">
        <v>4000</v>
      </c>
      <c r="G16" s="414">
        <v>2.58</v>
      </c>
      <c r="H16" s="404">
        <f t="shared" si="5"/>
        <v>48.682170542635653</v>
      </c>
      <c r="I16" s="415">
        <v>2.7000000000000001E-3</v>
      </c>
      <c r="J16" s="405">
        <f t="shared" si="6"/>
        <v>3.328767123287671E-5</v>
      </c>
      <c r="K16" s="384">
        <v>6063</v>
      </c>
      <c r="L16" s="407">
        <f t="shared" si="7"/>
        <v>9.8251890410958893</v>
      </c>
      <c r="M16" s="75"/>
    </row>
    <row r="17" spans="1:13" ht="23.45" customHeight="1">
      <c r="A17" s="628"/>
      <c r="B17" s="198" t="s">
        <v>125</v>
      </c>
      <c r="C17" s="361">
        <f>SUM(C12:C16)</f>
        <v>74</v>
      </c>
      <c r="D17" s="77"/>
      <c r="E17" s="144"/>
      <c r="F17" s="144"/>
      <c r="G17" s="144"/>
      <c r="H17" s="144"/>
      <c r="I17" s="122"/>
      <c r="J17" s="122"/>
      <c r="K17" s="225"/>
      <c r="L17" s="409">
        <f>SUM(L12:L16)</f>
        <v>70.413854794520546</v>
      </c>
      <c r="M17" s="75"/>
    </row>
    <row r="18" spans="1:13" ht="9" customHeight="1">
      <c r="J18" s="75"/>
      <c r="K18" s="75"/>
      <c r="L18" s="75"/>
    </row>
    <row r="19" spans="1:13" ht="16.149999999999999" customHeight="1">
      <c r="A19" s="633" t="s">
        <v>704</v>
      </c>
      <c r="B19" s="633"/>
      <c r="C19" s="633"/>
      <c r="D19" s="633"/>
      <c r="E19" s="633"/>
      <c r="F19" s="633"/>
      <c r="G19" s="633"/>
      <c r="H19" s="633"/>
      <c r="I19" s="633"/>
      <c r="J19" s="633"/>
      <c r="K19" s="633"/>
      <c r="L19" s="633"/>
    </row>
    <row r="20" spans="1:13" ht="16.149999999999999" customHeight="1">
      <c r="A20" s="240" t="s">
        <v>705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</row>
    <row r="21" spans="1:13" ht="16.149999999999999" customHeight="1">
      <c r="A21" s="240" t="s">
        <v>706</v>
      </c>
      <c r="B21" s="145"/>
      <c r="C21" s="240"/>
      <c r="D21" s="240"/>
      <c r="E21" s="240"/>
      <c r="F21" s="240"/>
      <c r="G21" s="240"/>
      <c r="H21" s="240"/>
      <c r="I21" s="240"/>
      <c r="J21" s="240"/>
      <c r="K21" s="240"/>
      <c r="L21" s="240"/>
    </row>
    <row r="22" spans="1:13" ht="16.149999999999999" customHeight="1">
      <c r="A22" s="240" t="s">
        <v>707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</row>
    <row r="23" spans="1:13" ht="16.149999999999999" customHeight="1">
      <c r="A23" s="81" t="s">
        <v>708</v>
      </c>
      <c r="E23" s="104"/>
      <c r="F23" s="104"/>
      <c r="G23" s="104"/>
      <c r="H23" s="104"/>
      <c r="I23" s="104"/>
      <c r="J23" s="75"/>
      <c r="K23" s="75"/>
      <c r="L23" s="81"/>
    </row>
    <row r="24" spans="1:13" ht="15.6" customHeight="1"/>
    <row r="25" spans="1:13" ht="20.25" customHeight="1">
      <c r="A25" s="668" t="s">
        <v>297</v>
      </c>
      <c r="B25" s="668"/>
      <c r="C25" s="668"/>
      <c r="D25" s="668"/>
      <c r="E25" s="668"/>
      <c r="F25" s="146"/>
      <c r="G25" s="669"/>
      <c r="H25" s="669"/>
      <c r="I25" s="669"/>
      <c r="J25" s="669"/>
      <c r="K25" s="669"/>
      <c r="L25" s="669"/>
    </row>
    <row r="26" spans="1:13" s="247" customFormat="1" ht="33" customHeight="1">
      <c r="A26" s="649" t="s">
        <v>627</v>
      </c>
      <c r="B26" s="656" t="s">
        <v>560</v>
      </c>
      <c r="C26" s="242" t="s">
        <v>122</v>
      </c>
      <c r="D26" s="235" t="s">
        <v>121</v>
      </c>
      <c r="E26" s="106" t="s">
        <v>132</v>
      </c>
      <c r="F26" s="148" t="s">
        <v>133</v>
      </c>
      <c r="G26" s="148" t="s">
        <v>296</v>
      </c>
      <c r="H26" s="148" t="s">
        <v>153</v>
      </c>
      <c r="I26" s="236" t="s">
        <v>150</v>
      </c>
      <c r="J26" s="236" t="s">
        <v>155</v>
      </c>
      <c r="K26" s="236" t="s">
        <v>167</v>
      </c>
      <c r="L26" s="222" t="s">
        <v>156</v>
      </c>
      <c r="M26" s="212" t="s">
        <v>124</v>
      </c>
    </row>
    <row r="27" spans="1:13" s="247" customFormat="1" ht="18.75" customHeight="1">
      <c r="A27" s="632"/>
      <c r="B27" s="656"/>
      <c r="C27" s="88" t="s">
        <v>108</v>
      </c>
      <c r="D27" s="88" t="s">
        <v>564</v>
      </c>
      <c r="E27" s="108" t="s">
        <v>131</v>
      </c>
      <c r="F27" s="108" t="s">
        <v>134</v>
      </c>
      <c r="G27" s="108" t="s">
        <v>151</v>
      </c>
      <c r="H27" s="108" t="s">
        <v>154</v>
      </c>
      <c r="I27" s="88" t="s">
        <v>586</v>
      </c>
      <c r="J27" s="88"/>
      <c r="K27" s="88" t="s">
        <v>699</v>
      </c>
      <c r="L27" s="223" t="s">
        <v>701</v>
      </c>
      <c r="M27" s="88" t="s">
        <v>638</v>
      </c>
    </row>
    <row r="28" spans="1:13" s="247" customFormat="1" ht="39.75" customHeight="1">
      <c r="A28" s="632"/>
      <c r="B28" s="656"/>
      <c r="C28" s="238" t="s">
        <v>57</v>
      </c>
      <c r="D28" s="246" t="s">
        <v>60</v>
      </c>
      <c r="E28" s="110" t="s">
        <v>62</v>
      </c>
      <c r="F28" s="110" t="s">
        <v>70</v>
      </c>
      <c r="G28" s="110" t="s">
        <v>75</v>
      </c>
      <c r="H28" s="112" t="s">
        <v>718</v>
      </c>
      <c r="I28" s="246" t="s">
        <v>840</v>
      </c>
      <c r="J28" s="246" t="s">
        <v>84</v>
      </c>
      <c r="K28" s="239" t="s">
        <v>989</v>
      </c>
      <c r="L28" s="149" t="s">
        <v>841</v>
      </c>
      <c r="M28" s="239" t="s">
        <v>842</v>
      </c>
    </row>
    <row r="29" spans="1:13" s="247" customFormat="1" ht="30" customHeight="1">
      <c r="A29" s="632"/>
      <c r="B29" s="656"/>
      <c r="C29" s="243" t="s">
        <v>580</v>
      </c>
      <c r="D29" s="239" t="s">
        <v>580</v>
      </c>
      <c r="E29" s="112" t="s">
        <v>629</v>
      </c>
      <c r="F29" s="112" t="s">
        <v>709</v>
      </c>
      <c r="G29" s="112" t="s">
        <v>710</v>
      </c>
      <c r="H29" s="239" t="s">
        <v>422</v>
      </c>
      <c r="I29" s="112" t="s">
        <v>711</v>
      </c>
      <c r="J29" s="112" t="s">
        <v>712</v>
      </c>
      <c r="K29" s="239" t="s">
        <v>422</v>
      </c>
      <c r="L29" s="226" t="s">
        <v>582</v>
      </c>
      <c r="M29" s="239" t="s">
        <v>503</v>
      </c>
    </row>
    <row r="30" spans="1:13" ht="38.450000000000003" customHeight="1">
      <c r="A30" s="639" t="s">
        <v>305</v>
      </c>
      <c r="B30" s="198" t="s">
        <v>947</v>
      </c>
      <c r="C30" s="402">
        <f>'ｼｰﾄNO.3（表-3）59頁'!F32</f>
        <v>11</v>
      </c>
      <c r="D30" s="403">
        <f>'ｼｰﾄNO.3（表-3）59頁'!F30</f>
        <v>9</v>
      </c>
      <c r="E30" s="413">
        <f>100*100*3.14</f>
        <v>31400</v>
      </c>
      <c r="F30" s="413">
        <v>4000</v>
      </c>
      <c r="G30" s="414">
        <v>2.58</v>
      </c>
      <c r="H30" s="404">
        <f>E30/1000000*F30/G30</f>
        <v>48.682170542635653</v>
      </c>
      <c r="I30" s="384">
        <v>1</v>
      </c>
      <c r="J30" s="415">
        <v>1.4E-3</v>
      </c>
      <c r="K30" s="405">
        <f>(C30*D30/365/24)*J30</f>
        <v>1.5821917808219179E-5</v>
      </c>
      <c r="L30" s="384">
        <v>19164</v>
      </c>
      <c r="M30" s="410">
        <f>H30*K30*L30</f>
        <v>14.760980949346925</v>
      </c>
    </row>
    <row r="31" spans="1:13" ht="44.45" customHeight="1">
      <c r="A31" s="640"/>
      <c r="B31" s="198" t="s">
        <v>948</v>
      </c>
      <c r="C31" s="402">
        <f>'ｼｰﾄNO.3（表-3）59頁'!F33</f>
        <v>18</v>
      </c>
      <c r="D31" s="403">
        <f>'ｼｰﾄNO.3（表-3）59頁'!F30</f>
        <v>9</v>
      </c>
      <c r="E31" s="413">
        <f>100*100*3.14*2</f>
        <v>62800</v>
      </c>
      <c r="F31" s="413">
        <v>4000</v>
      </c>
      <c r="G31" s="414">
        <v>2.58</v>
      </c>
      <c r="H31" s="404">
        <f t="shared" ref="H31:H32" si="8">E31/1000000*F31/G31</f>
        <v>97.364341085271306</v>
      </c>
      <c r="I31" s="384">
        <v>1</v>
      </c>
      <c r="J31" s="415">
        <v>1.4E-3</v>
      </c>
      <c r="K31" s="405">
        <f t="shared" ref="K31:K32" si="9">(C31*D31/365/24)*J31</f>
        <v>2.5890410958904108E-5</v>
      </c>
      <c r="L31" s="384">
        <v>19164</v>
      </c>
      <c r="M31" s="410">
        <f t="shared" ref="M31:M32" si="10">H31*K31*L31</f>
        <v>48.308664925135382</v>
      </c>
    </row>
    <row r="32" spans="1:13" ht="38.450000000000003" customHeight="1">
      <c r="A32" s="640"/>
      <c r="B32" s="198" t="s">
        <v>949</v>
      </c>
      <c r="C32" s="402">
        <f>'ｼｰﾄNO.3（表-3）59頁'!F34</f>
        <v>38</v>
      </c>
      <c r="D32" s="403">
        <f>'ｼｰﾄNO.3（表-3）59頁'!F30</f>
        <v>9</v>
      </c>
      <c r="E32" s="413">
        <f t="shared" ref="E32" si="11">100*100*3.14</f>
        <v>31400</v>
      </c>
      <c r="F32" s="413">
        <v>4000</v>
      </c>
      <c r="G32" s="414">
        <v>2.58</v>
      </c>
      <c r="H32" s="404">
        <f t="shared" si="8"/>
        <v>48.682170542635653</v>
      </c>
      <c r="I32" s="384">
        <v>1</v>
      </c>
      <c r="J32" s="415">
        <v>1.4E-3</v>
      </c>
      <c r="K32" s="405">
        <f t="shared" si="9"/>
        <v>5.4657534246575339E-5</v>
      </c>
      <c r="L32" s="384">
        <v>19164</v>
      </c>
      <c r="M32" s="380">
        <f t="shared" si="10"/>
        <v>50.992479643198457</v>
      </c>
    </row>
    <row r="33" spans="1:13" ht="23.45" customHeight="1">
      <c r="A33" s="641"/>
      <c r="B33" s="198" t="s">
        <v>125</v>
      </c>
      <c r="C33" s="361">
        <f>SUM(C30:C32)</f>
        <v>67</v>
      </c>
      <c r="D33" s="77"/>
      <c r="E33" s="122"/>
      <c r="F33" s="122"/>
      <c r="G33" s="143"/>
      <c r="H33" s="143"/>
      <c r="I33" s="122"/>
      <c r="J33" s="144"/>
      <c r="K33" s="224"/>
      <c r="L33" s="122"/>
      <c r="M33" s="411">
        <f>SUM(M30:M32)</f>
        <v>114.06212551768076</v>
      </c>
    </row>
    <row r="34" spans="1:13" ht="44.45" customHeight="1">
      <c r="A34" s="639" t="s">
        <v>306</v>
      </c>
      <c r="B34" s="198" t="s">
        <v>988</v>
      </c>
      <c r="C34" s="402">
        <f>'ｼｰﾄNO.3（表-3）59頁'!F35</f>
        <v>16</v>
      </c>
      <c r="D34" s="403">
        <f>'ｼｰﾄNO.3（表-3）59頁'!F30</f>
        <v>9</v>
      </c>
      <c r="E34" s="413">
        <f t="shared" ref="E34:E38" si="12">100*100*3.14</f>
        <v>31400</v>
      </c>
      <c r="F34" s="413">
        <v>4000</v>
      </c>
      <c r="G34" s="414">
        <v>2.58</v>
      </c>
      <c r="H34" s="404">
        <f t="shared" ref="H34:H38" si="13">E34/1000000*F34/G34</f>
        <v>48.682170542635653</v>
      </c>
      <c r="I34" s="384">
        <v>1</v>
      </c>
      <c r="J34" s="415">
        <v>2.7000000000000001E-3</v>
      </c>
      <c r="K34" s="405">
        <f t="shared" ref="K34:K38" si="14">(C34*D34/365/24)*J34</f>
        <v>4.4383561643835611E-5</v>
      </c>
      <c r="L34" s="384">
        <v>19164</v>
      </c>
      <c r="M34" s="410">
        <f t="shared" ref="M34:M38" si="15">H34*K34*L34</f>
        <v>41.407427078687469</v>
      </c>
    </row>
    <row r="35" spans="1:13" ht="58.15" customHeight="1">
      <c r="A35" s="640"/>
      <c r="B35" s="198" t="s">
        <v>950</v>
      </c>
      <c r="C35" s="402">
        <f>'ｼｰﾄNO.3（表-3）59頁'!F36</f>
        <v>12</v>
      </c>
      <c r="D35" s="403">
        <f>'ｼｰﾄNO.3（表-3）59頁'!F30</f>
        <v>9</v>
      </c>
      <c r="E35" s="413">
        <f>100*100*3.14*2</f>
        <v>62800</v>
      </c>
      <c r="F35" s="413">
        <v>4000</v>
      </c>
      <c r="G35" s="414">
        <v>2.58</v>
      </c>
      <c r="H35" s="404">
        <f t="shared" si="13"/>
        <v>97.364341085271306</v>
      </c>
      <c r="I35" s="384">
        <v>1</v>
      </c>
      <c r="J35" s="415">
        <v>2.7000000000000001E-3</v>
      </c>
      <c r="K35" s="405">
        <f t="shared" si="14"/>
        <v>3.328767123287671E-5</v>
      </c>
      <c r="L35" s="384">
        <v>19164</v>
      </c>
      <c r="M35" s="410">
        <f t="shared" si="15"/>
        <v>62.111140618031214</v>
      </c>
    </row>
    <row r="36" spans="1:13" ht="44.45" customHeight="1">
      <c r="A36" s="640"/>
      <c r="B36" s="198" t="s">
        <v>951</v>
      </c>
      <c r="C36" s="402">
        <f>'ｼｰﾄNO.3（表-3）59頁'!F37</f>
        <v>16</v>
      </c>
      <c r="D36" s="403">
        <f>'ｼｰﾄNO.3（表-3）59頁'!F30</f>
        <v>9</v>
      </c>
      <c r="E36" s="413">
        <f t="shared" si="12"/>
        <v>31400</v>
      </c>
      <c r="F36" s="413">
        <v>4000</v>
      </c>
      <c r="G36" s="414">
        <v>2.58</v>
      </c>
      <c r="H36" s="404">
        <f t="shared" si="13"/>
        <v>48.682170542635653</v>
      </c>
      <c r="I36" s="384">
        <v>1</v>
      </c>
      <c r="J36" s="415">
        <v>2.7000000000000001E-3</v>
      </c>
      <c r="K36" s="405">
        <f t="shared" si="14"/>
        <v>4.4383561643835611E-5</v>
      </c>
      <c r="L36" s="384">
        <v>19164</v>
      </c>
      <c r="M36" s="410">
        <f t="shared" si="15"/>
        <v>41.407427078687469</v>
      </c>
    </row>
    <row r="37" spans="1:13" ht="44.45" customHeight="1">
      <c r="A37" s="640"/>
      <c r="B37" s="198" t="s">
        <v>952</v>
      </c>
      <c r="C37" s="402">
        <f>'ｼｰﾄNO.3（表-3）59頁'!F38</f>
        <v>18</v>
      </c>
      <c r="D37" s="403">
        <f>'ｼｰﾄNO.3（表-3）59頁'!F30</f>
        <v>9</v>
      </c>
      <c r="E37" s="413">
        <f t="shared" si="12"/>
        <v>31400</v>
      </c>
      <c r="F37" s="413">
        <v>4000</v>
      </c>
      <c r="G37" s="414">
        <v>2.58</v>
      </c>
      <c r="H37" s="404">
        <f t="shared" si="13"/>
        <v>48.682170542635653</v>
      </c>
      <c r="I37" s="384">
        <v>1</v>
      </c>
      <c r="J37" s="415">
        <v>2.7000000000000001E-3</v>
      </c>
      <c r="K37" s="405">
        <f t="shared" si="14"/>
        <v>4.9931506849315075E-5</v>
      </c>
      <c r="L37" s="384">
        <v>19164</v>
      </c>
      <c r="M37" s="410">
        <f t="shared" si="15"/>
        <v>46.583355463523418</v>
      </c>
    </row>
    <row r="38" spans="1:13" ht="44.45" customHeight="1">
      <c r="A38" s="640"/>
      <c r="B38" s="198" t="s">
        <v>953</v>
      </c>
      <c r="C38" s="402">
        <f>'ｼｰﾄNO.3（表-3）59頁'!F39</f>
        <v>12</v>
      </c>
      <c r="D38" s="403">
        <f>'ｼｰﾄNO.3（表-3）59頁'!F30</f>
        <v>9</v>
      </c>
      <c r="E38" s="413">
        <f t="shared" si="12"/>
        <v>31400</v>
      </c>
      <c r="F38" s="413">
        <v>4000</v>
      </c>
      <c r="G38" s="414">
        <v>2.58</v>
      </c>
      <c r="H38" s="404">
        <f t="shared" si="13"/>
        <v>48.682170542635653</v>
      </c>
      <c r="I38" s="384">
        <v>1</v>
      </c>
      <c r="J38" s="415">
        <v>2.7000000000000001E-3</v>
      </c>
      <c r="K38" s="405">
        <f t="shared" si="14"/>
        <v>3.328767123287671E-5</v>
      </c>
      <c r="L38" s="384">
        <v>19164</v>
      </c>
      <c r="M38" s="380">
        <f t="shared" si="15"/>
        <v>31.055570309015607</v>
      </c>
    </row>
    <row r="39" spans="1:13" ht="23.45" customHeight="1">
      <c r="A39" s="641"/>
      <c r="B39" s="198" t="s">
        <v>125</v>
      </c>
      <c r="C39" s="361">
        <f>SUM(C34:C38)</f>
        <v>74</v>
      </c>
      <c r="D39" s="77"/>
      <c r="E39" s="144"/>
      <c r="F39" s="144"/>
      <c r="G39" s="144"/>
      <c r="H39" s="144"/>
      <c r="I39" s="122"/>
      <c r="J39" s="225"/>
      <c r="K39" s="225"/>
      <c r="L39" s="125"/>
      <c r="M39" s="412">
        <f>SUM(M34:M38)</f>
        <v>222.56492054794518</v>
      </c>
    </row>
    <row r="40" spans="1:13" ht="9" customHeight="1"/>
    <row r="41" spans="1:13" ht="16.149999999999999" customHeight="1">
      <c r="A41" s="633" t="s">
        <v>713</v>
      </c>
      <c r="B41" s="633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240"/>
    </row>
    <row r="42" spans="1:13" ht="16.149999999999999" customHeight="1">
      <c r="A42" s="240" t="s">
        <v>714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</row>
    <row r="43" spans="1:13" ht="16.149999999999999" customHeight="1">
      <c r="A43" s="240" t="s">
        <v>706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</row>
    <row r="44" spans="1:13" ht="16.149999999999999" customHeight="1">
      <c r="A44" s="240" t="s">
        <v>707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</row>
    <row r="45" spans="1:13" ht="16.149999999999999" customHeight="1">
      <c r="A45" s="240" t="s">
        <v>715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</row>
    <row r="46" spans="1:13" ht="16.149999999999999" customHeight="1">
      <c r="A46" s="81" t="s">
        <v>716</v>
      </c>
      <c r="B46" s="81"/>
      <c r="C46" s="81"/>
      <c r="D46" s="81"/>
      <c r="E46" s="104"/>
      <c r="F46" s="104"/>
      <c r="G46" s="104"/>
      <c r="H46" s="104"/>
      <c r="I46" s="104"/>
      <c r="J46" s="81"/>
      <c r="K46" s="81"/>
      <c r="L46" s="81"/>
      <c r="M46" s="105"/>
    </row>
    <row r="47" spans="1:13" ht="17.25" customHeight="1">
      <c r="A47" s="81"/>
      <c r="B47" s="81"/>
      <c r="C47" s="81"/>
      <c r="D47" s="81"/>
      <c r="E47" s="104"/>
      <c r="F47" s="104"/>
      <c r="G47" s="104"/>
      <c r="H47" s="104"/>
      <c r="I47" s="104"/>
      <c r="J47" s="104"/>
      <c r="K47" s="104"/>
      <c r="L47" s="104"/>
      <c r="M47" s="105"/>
    </row>
    <row r="48" spans="1:13">
      <c r="A48" s="81"/>
      <c r="B48" s="81"/>
      <c r="C48" s="81"/>
      <c r="D48" s="81"/>
      <c r="E48" s="104"/>
      <c r="F48" s="104"/>
      <c r="G48" s="104"/>
      <c r="H48" s="104"/>
      <c r="I48" s="104"/>
      <c r="J48" s="104"/>
      <c r="K48" s="104"/>
      <c r="L48" s="104"/>
    </row>
    <row r="49" spans="1:12">
      <c r="A49" s="81"/>
      <c r="B49" s="81"/>
      <c r="C49" s="81"/>
      <c r="D49" s="81"/>
      <c r="E49" s="104"/>
      <c r="F49" s="104"/>
      <c r="G49" s="104"/>
      <c r="H49" s="104"/>
      <c r="I49" s="104"/>
      <c r="J49" s="104"/>
      <c r="K49" s="104"/>
      <c r="L49" s="104"/>
    </row>
  </sheetData>
  <mergeCells count="15">
    <mergeCell ref="A41:L41"/>
    <mergeCell ref="A34:A39"/>
    <mergeCell ref="A8:A11"/>
    <mergeCell ref="A12:A17"/>
    <mergeCell ref="A3:E3"/>
    <mergeCell ref="A19:L19"/>
    <mergeCell ref="B4:B6"/>
    <mergeCell ref="A4:A6"/>
    <mergeCell ref="B26:B29"/>
    <mergeCell ref="A26:A29"/>
    <mergeCell ref="A25:E25"/>
    <mergeCell ref="A30:A33"/>
    <mergeCell ref="A7:B7"/>
    <mergeCell ref="G3:L3"/>
    <mergeCell ref="G25:L25"/>
  </mergeCells>
  <phoneticPr fontId="3"/>
  <printOptions horizontalCentered="1"/>
  <pageMargins left="0.23622047244094491" right="0.23622047244094491" top="0.59055118110236227" bottom="0.35433070866141736" header="0.31496062992125984" footer="0.31496062992125984"/>
  <pageSetup paperSize="9" scale="62" fitToWidth="0" fitToHeight="0" orientation="portrait" r:id="rId1"/>
  <ignoredErrors>
    <ignoredError sqref="E9 L11 E13 E31:E35 M33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workbookViewId="0">
      <selection activeCell="P30" sqref="P30"/>
    </sheetView>
  </sheetViews>
  <sheetFormatPr defaultColWidth="9" defaultRowHeight="13.5"/>
  <cols>
    <col min="1" max="1" width="7.5" style="75" customWidth="1"/>
    <col min="2" max="2" width="16.875" style="75" customWidth="1"/>
    <col min="3" max="3" width="6.5" style="75" customWidth="1"/>
    <col min="4" max="4" width="9.125" style="75" customWidth="1"/>
    <col min="5" max="5" width="9.5" style="104" customWidth="1"/>
    <col min="6" max="6" width="9.5" style="105" customWidth="1"/>
    <col min="7" max="7" width="13.875" style="104" customWidth="1"/>
    <col min="8" max="9" width="12.25" style="104" customWidth="1"/>
    <col min="10" max="10" width="13" style="105" customWidth="1"/>
    <col min="11" max="12" width="12.25" style="75" customWidth="1"/>
    <col min="13" max="16384" width="9" style="75"/>
  </cols>
  <sheetData>
    <row r="1" spans="1:13" ht="15.6" customHeight="1">
      <c r="A1" s="75" t="s">
        <v>730</v>
      </c>
      <c r="L1" s="194"/>
    </row>
    <row r="2" spans="1:13" ht="15.6" customHeight="1"/>
    <row r="3" spans="1:13" ht="18.75" customHeight="1">
      <c r="A3" s="668" t="s">
        <v>294</v>
      </c>
      <c r="B3" s="668"/>
      <c r="C3" s="668"/>
      <c r="D3" s="668"/>
      <c r="E3" s="668"/>
      <c r="F3" s="670"/>
      <c r="G3" s="670"/>
      <c r="H3" s="670"/>
      <c r="I3" s="670"/>
      <c r="J3" s="670"/>
      <c r="K3" s="670"/>
      <c r="L3" s="670"/>
      <c r="M3" s="81"/>
    </row>
    <row r="4" spans="1:13" s="82" customFormat="1" ht="33" customHeight="1">
      <c r="A4" s="632" t="s">
        <v>627</v>
      </c>
      <c r="B4" s="631" t="s">
        <v>560</v>
      </c>
      <c r="C4" s="235" t="s">
        <v>122</v>
      </c>
      <c r="D4" s="235" t="s">
        <v>121</v>
      </c>
      <c r="E4" s="106" t="s">
        <v>166</v>
      </c>
      <c r="F4" s="235" t="s">
        <v>298</v>
      </c>
      <c r="G4" s="235" t="s">
        <v>158</v>
      </c>
      <c r="H4" s="107" t="s">
        <v>152</v>
      </c>
      <c r="I4" s="212" t="s">
        <v>124</v>
      </c>
    </row>
    <row r="5" spans="1:13" s="82" customFormat="1" ht="18.600000000000001" customHeight="1">
      <c r="A5" s="632"/>
      <c r="B5" s="631"/>
      <c r="C5" s="88" t="s">
        <v>108</v>
      </c>
      <c r="D5" s="88" t="s">
        <v>564</v>
      </c>
      <c r="E5" s="108" t="s">
        <v>157</v>
      </c>
      <c r="F5" s="154" t="s">
        <v>583</v>
      </c>
      <c r="G5" s="154" t="s">
        <v>732</v>
      </c>
      <c r="H5" s="155" t="s">
        <v>731</v>
      </c>
      <c r="I5" s="154" t="s">
        <v>700</v>
      </c>
    </row>
    <row r="6" spans="1:13" s="82" customFormat="1" ht="36.6" customHeight="1">
      <c r="A6" s="632"/>
      <c r="B6" s="631"/>
      <c r="C6" s="246" t="s">
        <v>57</v>
      </c>
      <c r="D6" s="246" t="s">
        <v>60</v>
      </c>
      <c r="E6" s="110" t="s">
        <v>62</v>
      </c>
      <c r="F6" s="246" t="s">
        <v>70</v>
      </c>
      <c r="G6" s="239" t="s">
        <v>766</v>
      </c>
      <c r="H6" s="149" t="s">
        <v>78</v>
      </c>
      <c r="I6" s="239" t="s">
        <v>735</v>
      </c>
    </row>
    <row r="7" spans="1:13" s="82" customFormat="1" ht="30" customHeight="1">
      <c r="A7" s="622" t="s">
        <v>314</v>
      </c>
      <c r="B7" s="623"/>
      <c r="C7" s="239" t="s">
        <v>739</v>
      </c>
      <c r="D7" s="239" t="s">
        <v>739</v>
      </c>
      <c r="E7" s="112" t="s">
        <v>629</v>
      </c>
      <c r="F7" s="112" t="s">
        <v>742</v>
      </c>
      <c r="G7" s="239" t="s">
        <v>422</v>
      </c>
      <c r="H7" s="111" t="s">
        <v>581</v>
      </c>
      <c r="I7" s="239" t="s">
        <v>504</v>
      </c>
    </row>
    <row r="8" spans="1:13" ht="38.450000000000003" customHeight="1">
      <c r="A8" s="626" t="s">
        <v>305</v>
      </c>
      <c r="B8" s="198" t="s">
        <v>947</v>
      </c>
      <c r="C8" s="416">
        <f>'ｼｰﾄNO.3（表-3）59頁'!F32</f>
        <v>11</v>
      </c>
      <c r="D8" s="417">
        <f>'ｼｰﾄNO.3（表-3）59頁'!F30</f>
        <v>9</v>
      </c>
      <c r="E8" s="421">
        <v>10</v>
      </c>
      <c r="F8" s="371">
        <v>1.4E-3</v>
      </c>
      <c r="G8" s="418">
        <f>(C8*D8)/(365*24)*F8</f>
        <v>1.5821917808219179E-5</v>
      </c>
      <c r="H8" s="372">
        <v>1322000</v>
      </c>
      <c r="I8" s="419">
        <f>E8*G8*H8</f>
        <v>209.16575342465754</v>
      </c>
      <c r="J8" s="81"/>
      <c r="K8" s="81"/>
      <c r="L8" s="81"/>
      <c r="M8" s="81"/>
    </row>
    <row r="9" spans="1:13" ht="44.45" customHeight="1">
      <c r="A9" s="627"/>
      <c r="B9" s="198" t="s">
        <v>948</v>
      </c>
      <c r="C9" s="416">
        <f>'ｼｰﾄNO.3（表-3）59頁'!F33</f>
        <v>18</v>
      </c>
      <c r="D9" s="417">
        <f>'ｼｰﾄNO.3（表-3）59頁'!F30</f>
        <v>9</v>
      </c>
      <c r="E9" s="421">
        <v>20</v>
      </c>
      <c r="F9" s="371">
        <v>1.4E-3</v>
      </c>
      <c r="G9" s="418">
        <f t="shared" ref="G9:G10" si="0">(C9*D9)/(365*24)*F9</f>
        <v>2.5890410958904108E-5</v>
      </c>
      <c r="H9" s="372">
        <v>1322000</v>
      </c>
      <c r="I9" s="419">
        <f t="shared" ref="I9:I10" si="1">E9*G9*H9</f>
        <v>684.54246575342461</v>
      </c>
      <c r="J9" s="81"/>
      <c r="K9" s="81"/>
      <c r="L9" s="81"/>
      <c r="M9" s="81"/>
    </row>
    <row r="10" spans="1:13" ht="38.450000000000003" customHeight="1">
      <c r="A10" s="627"/>
      <c r="B10" s="198" t="s">
        <v>949</v>
      </c>
      <c r="C10" s="416">
        <f>'ｼｰﾄNO.3（表-3）59頁'!F34</f>
        <v>38</v>
      </c>
      <c r="D10" s="417">
        <f>'ｼｰﾄNO.3（表-3）59頁'!F30</f>
        <v>9</v>
      </c>
      <c r="E10" s="421">
        <v>10</v>
      </c>
      <c r="F10" s="371">
        <v>1.4E-3</v>
      </c>
      <c r="G10" s="418">
        <f t="shared" si="0"/>
        <v>5.4657534246575339E-5</v>
      </c>
      <c r="H10" s="372">
        <v>1322000</v>
      </c>
      <c r="I10" s="420">
        <f t="shared" si="1"/>
        <v>722.57260273972588</v>
      </c>
      <c r="J10" s="81"/>
      <c r="K10" s="81"/>
      <c r="L10" s="81"/>
      <c r="M10" s="81"/>
    </row>
    <row r="11" spans="1:13" ht="23.45" customHeight="1">
      <c r="A11" s="628"/>
      <c r="B11" s="198" t="s">
        <v>125</v>
      </c>
      <c r="C11" s="358">
        <f>SUM(C8:C10)</f>
        <v>67</v>
      </c>
      <c r="D11" s="83"/>
      <c r="E11" s="119"/>
      <c r="F11" s="113"/>
      <c r="G11" s="152"/>
      <c r="H11" s="119"/>
      <c r="I11" s="408">
        <f>SUM(I8:I10)</f>
        <v>1616.280821917808</v>
      </c>
      <c r="J11" s="81"/>
      <c r="K11" s="81"/>
      <c r="L11" s="81"/>
      <c r="M11" s="81"/>
    </row>
    <row r="12" spans="1:13" ht="44.45" customHeight="1">
      <c r="A12" s="626" t="s">
        <v>306</v>
      </c>
      <c r="B12" s="198" t="s">
        <v>988</v>
      </c>
      <c r="C12" s="416">
        <f>'ｼｰﾄNO.3（表-3）59頁'!F35</f>
        <v>16</v>
      </c>
      <c r="D12" s="417">
        <f>'ｼｰﾄNO.3（表-3）59頁'!F30</f>
        <v>9</v>
      </c>
      <c r="E12" s="421">
        <v>10</v>
      </c>
      <c r="F12" s="371">
        <v>2.7000000000000001E-3</v>
      </c>
      <c r="G12" s="418">
        <f t="shared" ref="G12:G16" si="2">(C12*D12)/(365*24)*F12</f>
        <v>4.4383561643835611E-5</v>
      </c>
      <c r="H12" s="372">
        <v>1322000</v>
      </c>
      <c r="I12" s="419">
        <f t="shared" ref="I12:I16" si="3">E12*G12*H12</f>
        <v>586.75068493150673</v>
      </c>
      <c r="J12" s="81"/>
      <c r="K12" s="81"/>
      <c r="L12" s="81"/>
      <c r="M12" s="81"/>
    </row>
    <row r="13" spans="1:13" ht="58.9" customHeight="1">
      <c r="A13" s="627"/>
      <c r="B13" s="198" t="s">
        <v>950</v>
      </c>
      <c r="C13" s="416">
        <f>'ｼｰﾄNO.3（表-3）59頁'!F36</f>
        <v>12</v>
      </c>
      <c r="D13" s="417">
        <f>'ｼｰﾄNO.3（表-3）59頁'!F30</f>
        <v>9</v>
      </c>
      <c r="E13" s="421">
        <v>20</v>
      </c>
      <c r="F13" s="371">
        <v>2.7000000000000001E-3</v>
      </c>
      <c r="G13" s="418">
        <f t="shared" si="2"/>
        <v>3.328767123287671E-5</v>
      </c>
      <c r="H13" s="372">
        <v>1322000</v>
      </c>
      <c r="I13" s="419">
        <f t="shared" si="3"/>
        <v>880.12602739726026</v>
      </c>
      <c r="J13" s="81"/>
      <c r="K13" s="81"/>
      <c r="L13" s="81"/>
      <c r="M13" s="81"/>
    </row>
    <row r="14" spans="1:13" ht="44.45" customHeight="1">
      <c r="A14" s="627"/>
      <c r="B14" s="198" t="s">
        <v>951</v>
      </c>
      <c r="C14" s="416">
        <f>'ｼｰﾄNO.3（表-3）59頁'!F37</f>
        <v>16</v>
      </c>
      <c r="D14" s="417">
        <f>'ｼｰﾄNO.3（表-3）59頁'!F30</f>
        <v>9</v>
      </c>
      <c r="E14" s="421">
        <v>10</v>
      </c>
      <c r="F14" s="371">
        <v>2.7000000000000001E-3</v>
      </c>
      <c r="G14" s="418">
        <f t="shared" si="2"/>
        <v>4.4383561643835611E-5</v>
      </c>
      <c r="H14" s="372">
        <v>1322000</v>
      </c>
      <c r="I14" s="419">
        <f t="shared" si="3"/>
        <v>586.75068493150673</v>
      </c>
      <c r="J14" s="81"/>
      <c r="K14" s="81"/>
      <c r="L14" s="81"/>
      <c r="M14" s="81"/>
    </row>
    <row r="15" spans="1:13" ht="44.45" customHeight="1">
      <c r="A15" s="627"/>
      <c r="B15" s="198" t="s">
        <v>952</v>
      </c>
      <c r="C15" s="416">
        <f>'ｼｰﾄNO.3（表-3）59頁'!F38</f>
        <v>18</v>
      </c>
      <c r="D15" s="417">
        <f>'ｼｰﾄNO.3（表-3）59頁'!F30</f>
        <v>9</v>
      </c>
      <c r="E15" s="421">
        <v>10</v>
      </c>
      <c r="F15" s="371">
        <v>2.7000000000000001E-3</v>
      </c>
      <c r="G15" s="418">
        <f t="shared" si="2"/>
        <v>4.9931506849315075E-5</v>
      </c>
      <c r="H15" s="372">
        <v>1322000</v>
      </c>
      <c r="I15" s="419">
        <f t="shared" si="3"/>
        <v>660.09452054794531</v>
      </c>
      <c r="J15" s="81"/>
      <c r="K15" s="81"/>
      <c r="L15" s="81"/>
      <c r="M15" s="81"/>
    </row>
    <row r="16" spans="1:13" ht="44.45" customHeight="1">
      <c r="A16" s="627"/>
      <c r="B16" s="198" t="s">
        <v>953</v>
      </c>
      <c r="C16" s="416">
        <f>'ｼｰﾄNO.3（表-3）59頁'!F39</f>
        <v>12</v>
      </c>
      <c r="D16" s="417">
        <f>'ｼｰﾄNO.3（表-3）59頁'!F30</f>
        <v>9</v>
      </c>
      <c r="E16" s="421">
        <v>10</v>
      </c>
      <c r="F16" s="371">
        <v>2.7000000000000001E-3</v>
      </c>
      <c r="G16" s="418">
        <f t="shared" si="2"/>
        <v>3.328767123287671E-5</v>
      </c>
      <c r="H16" s="372">
        <v>1322000</v>
      </c>
      <c r="I16" s="420">
        <f t="shared" si="3"/>
        <v>440.06301369863013</v>
      </c>
      <c r="J16" s="81"/>
      <c r="K16" s="81"/>
      <c r="L16" s="81"/>
      <c r="M16" s="81"/>
    </row>
    <row r="17" spans="1:13" ht="23.45" customHeight="1">
      <c r="A17" s="628"/>
      <c r="B17" s="198" t="s">
        <v>125</v>
      </c>
      <c r="C17" s="358">
        <f>SUM(C12:C16)</f>
        <v>74</v>
      </c>
      <c r="D17" s="83"/>
      <c r="E17" s="113"/>
      <c r="F17" s="119"/>
      <c r="G17" s="119"/>
      <c r="H17" s="101"/>
      <c r="I17" s="409">
        <f>SUM(I12:I16)</f>
        <v>3153.7849315068493</v>
      </c>
      <c r="J17" s="81"/>
      <c r="K17" s="81"/>
      <c r="L17" s="81"/>
      <c r="M17" s="81"/>
    </row>
    <row r="18" spans="1:13" ht="9" customHeight="1">
      <c r="A18" s="81"/>
      <c r="B18" s="81"/>
      <c r="C18" s="81"/>
      <c r="D18" s="81"/>
      <c r="G18" s="81"/>
      <c r="H18" s="81"/>
      <c r="I18" s="81"/>
      <c r="K18" s="81"/>
      <c r="L18" s="81"/>
      <c r="M18" s="81"/>
    </row>
    <row r="19" spans="1:13" ht="16.5" customHeight="1">
      <c r="A19" s="633" t="s">
        <v>743</v>
      </c>
      <c r="B19" s="633"/>
      <c r="C19" s="633"/>
      <c r="D19" s="633"/>
      <c r="E19" s="633"/>
      <c r="F19" s="633"/>
      <c r="G19" s="633"/>
      <c r="H19" s="633"/>
      <c r="I19" s="633"/>
      <c r="K19" s="81"/>
      <c r="L19" s="81"/>
      <c r="M19" s="81"/>
    </row>
    <row r="20" spans="1:13" ht="15.75" customHeight="1">
      <c r="A20" s="633" t="s">
        <v>734</v>
      </c>
      <c r="B20" s="633"/>
      <c r="C20" s="633"/>
      <c r="D20" s="633"/>
      <c r="E20" s="633"/>
      <c r="F20" s="633"/>
      <c r="G20" s="633"/>
      <c r="H20" s="633"/>
      <c r="I20" s="633"/>
      <c r="K20" s="81"/>
      <c r="L20" s="81"/>
      <c r="M20" s="81"/>
    </row>
    <row r="21" spans="1:13" ht="19.5" customHeight="1">
      <c r="A21" s="633" t="s">
        <v>744</v>
      </c>
      <c r="B21" s="633"/>
      <c r="C21" s="633"/>
      <c r="D21" s="633"/>
      <c r="E21" s="633"/>
      <c r="F21" s="633"/>
      <c r="G21" s="633"/>
      <c r="H21" s="633"/>
      <c r="I21" s="633"/>
      <c r="J21" s="633"/>
      <c r="K21" s="81"/>
      <c r="L21" s="81"/>
      <c r="M21" s="81"/>
    </row>
    <row r="22" spans="1:13" ht="15.6" customHeight="1">
      <c r="A22" s="633"/>
      <c r="B22" s="633"/>
      <c r="C22" s="633"/>
      <c r="D22" s="633"/>
      <c r="E22" s="633"/>
      <c r="F22" s="633"/>
      <c r="G22" s="633"/>
      <c r="H22" s="633"/>
      <c r="I22" s="633"/>
      <c r="K22" s="81"/>
      <c r="L22" s="81"/>
      <c r="M22" s="81"/>
    </row>
    <row r="23" spans="1:13">
      <c r="A23" s="668" t="s">
        <v>297</v>
      </c>
      <c r="B23" s="668"/>
      <c r="C23" s="668"/>
      <c r="D23" s="668"/>
      <c r="E23" s="668"/>
      <c r="F23" s="670"/>
      <c r="G23" s="670"/>
      <c r="H23" s="670"/>
      <c r="I23" s="670"/>
      <c r="J23" s="670"/>
      <c r="K23" s="670"/>
      <c r="L23" s="670"/>
      <c r="M23" s="81"/>
    </row>
    <row r="24" spans="1:13" s="82" customFormat="1" ht="33" customHeight="1">
      <c r="A24" s="632" t="s">
        <v>592</v>
      </c>
      <c r="B24" s="631" t="s">
        <v>560</v>
      </c>
      <c r="C24" s="235" t="s">
        <v>122</v>
      </c>
      <c r="D24" s="235" t="s">
        <v>121</v>
      </c>
      <c r="E24" s="106" t="s">
        <v>166</v>
      </c>
      <c r="F24" s="235" t="s">
        <v>332</v>
      </c>
      <c r="G24" s="235" t="s">
        <v>161</v>
      </c>
      <c r="H24" s="235" t="s">
        <v>164</v>
      </c>
      <c r="I24" s="235" t="s">
        <v>163</v>
      </c>
      <c r="J24" s="235" t="s">
        <v>162</v>
      </c>
      <c r="K24" s="107" t="s">
        <v>156</v>
      </c>
      <c r="L24" s="212" t="s">
        <v>124</v>
      </c>
    </row>
    <row r="25" spans="1:13" s="82" customFormat="1" ht="20.25" customHeight="1">
      <c r="A25" s="632"/>
      <c r="B25" s="631"/>
      <c r="C25" s="88" t="s">
        <v>108</v>
      </c>
      <c r="D25" s="88" t="s">
        <v>564</v>
      </c>
      <c r="E25" s="108" t="s">
        <v>169</v>
      </c>
      <c r="F25" s="154" t="s">
        <v>585</v>
      </c>
      <c r="G25" s="154" t="s">
        <v>765</v>
      </c>
      <c r="H25" s="154" t="s">
        <v>586</v>
      </c>
      <c r="I25" s="154" t="s">
        <v>424</v>
      </c>
      <c r="J25" s="154" t="s">
        <v>165</v>
      </c>
      <c r="K25" s="155" t="s">
        <v>423</v>
      </c>
      <c r="L25" s="154" t="s">
        <v>638</v>
      </c>
    </row>
    <row r="26" spans="1:13" s="82" customFormat="1" ht="33.75" customHeight="1">
      <c r="A26" s="632"/>
      <c r="B26" s="631"/>
      <c r="C26" s="246" t="s">
        <v>57</v>
      </c>
      <c r="D26" s="246" t="s">
        <v>60</v>
      </c>
      <c r="E26" s="110" t="s">
        <v>62</v>
      </c>
      <c r="F26" s="246" t="s">
        <v>70</v>
      </c>
      <c r="G26" s="239" t="s">
        <v>733</v>
      </c>
      <c r="H26" s="239" t="s">
        <v>78</v>
      </c>
      <c r="I26" s="111" t="s">
        <v>79</v>
      </c>
      <c r="J26" s="239" t="s">
        <v>736</v>
      </c>
      <c r="K26" s="149" t="s">
        <v>80</v>
      </c>
      <c r="L26" s="239" t="s">
        <v>737</v>
      </c>
    </row>
    <row r="27" spans="1:13" s="82" customFormat="1" ht="30" customHeight="1">
      <c r="A27" s="622" t="s">
        <v>314</v>
      </c>
      <c r="B27" s="623"/>
      <c r="C27" s="239" t="s">
        <v>740</v>
      </c>
      <c r="D27" s="239" t="s">
        <v>741</v>
      </c>
      <c r="E27" s="112" t="s">
        <v>745</v>
      </c>
      <c r="F27" s="112" t="s">
        <v>742</v>
      </c>
      <c r="G27" s="239" t="s">
        <v>738</v>
      </c>
      <c r="H27" s="112" t="s">
        <v>746</v>
      </c>
      <c r="I27" s="111" t="s">
        <v>747</v>
      </c>
      <c r="J27" s="239" t="s">
        <v>738</v>
      </c>
      <c r="K27" s="111" t="s">
        <v>584</v>
      </c>
      <c r="L27" s="239" t="s">
        <v>504</v>
      </c>
    </row>
    <row r="28" spans="1:13" ht="38.450000000000003" customHeight="1">
      <c r="A28" s="626" t="s">
        <v>305</v>
      </c>
      <c r="B28" s="198" t="s">
        <v>947</v>
      </c>
      <c r="C28" s="416">
        <f>'ｼｰﾄNO.3（表-3）59頁'!F32</f>
        <v>11</v>
      </c>
      <c r="D28" s="417">
        <f>'ｼｰﾄNO.3（表-3）59頁'!F30</f>
        <v>9</v>
      </c>
      <c r="E28" s="421">
        <v>10</v>
      </c>
      <c r="F28" s="371">
        <v>1.4E-3</v>
      </c>
      <c r="G28" s="418">
        <f>(C28*D28)/(365*24)*F28</f>
        <v>1.5821917808219179E-5</v>
      </c>
      <c r="H28" s="372">
        <v>1</v>
      </c>
      <c r="I28" s="372">
        <v>20</v>
      </c>
      <c r="J28" s="418">
        <f>G28*H28*I28</f>
        <v>3.1643835616438357E-4</v>
      </c>
      <c r="K28" s="372">
        <v>842</v>
      </c>
      <c r="L28" s="153">
        <f>E28*J28*K28</f>
        <v>2.6644109589041096</v>
      </c>
      <c r="M28" s="81"/>
    </row>
    <row r="29" spans="1:13" ht="44.45" customHeight="1">
      <c r="A29" s="627"/>
      <c r="B29" s="198" t="s">
        <v>948</v>
      </c>
      <c r="C29" s="416">
        <f>'ｼｰﾄNO.3（表-3）59頁'!F33</f>
        <v>18</v>
      </c>
      <c r="D29" s="417">
        <f>'ｼｰﾄNO.3（表-3）59頁'!F30</f>
        <v>9</v>
      </c>
      <c r="E29" s="421">
        <v>20</v>
      </c>
      <c r="F29" s="371">
        <v>1.4E-3</v>
      </c>
      <c r="G29" s="418">
        <f t="shared" ref="G29:G30" si="4">(C29*D29)/(365*24)*F29</f>
        <v>2.5890410958904108E-5</v>
      </c>
      <c r="H29" s="372">
        <v>1</v>
      </c>
      <c r="I29" s="372">
        <v>20</v>
      </c>
      <c r="J29" s="418">
        <f t="shared" ref="J29:J30" si="5">G29*H29*I29</f>
        <v>5.1780821917808218E-4</v>
      </c>
      <c r="K29" s="372">
        <v>842</v>
      </c>
      <c r="L29" s="419">
        <f t="shared" ref="L29:L30" si="6">E29*J29*K29</f>
        <v>8.7198904109589037</v>
      </c>
      <c r="M29" s="81"/>
    </row>
    <row r="30" spans="1:13" ht="38.450000000000003" customHeight="1">
      <c r="A30" s="627"/>
      <c r="B30" s="198" t="s">
        <v>949</v>
      </c>
      <c r="C30" s="416">
        <f>'ｼｰﾄNO.3（表-3）59頁'!F34</f>
        <v>38</v>
      </c>
      <c r="D30" s="417">
        <f>'ｼｰﾄNO.3（表-3）59頁'!F30</f>
        <v>9</v>
      </c>
      <c r="E30" s="421">
        <v>10</v>
      </c>
      <c r="F30" s="371">
        <v>1.4E-3</v>
      </c>
      <c r="G30" s="418">
        <f t="shared" si="4"/>
        <v>5.4657534246575339E-5</v>
      </c>
      <c r="H30" s="372">
        <v>1</v>
      </c>
      <c r="I30" s="372">
        <v>20</v>
      </c>
      <c r="J30" s="418">
        <f t="shared" si="5"/>
        <v>1.0931506849315067E-3</v>
      </c>
      <c r="K30" s="372">
        <v>842</v>
      </c>
      <c r="L30" s="420">
        <f t="shared" si="6"/>
        <v>9.2043287671232861</v>
      </c>
      <c r="M30" s="81"/>
    </row>
    <row r="31" spans="1:13" ht="23.45" customHeight="1">
      <c r="A31" s="628"/>
      <c r="B31" s="198" t="s">
        <v>125</v>
      </c>
      <c r="C31" s="358">
        <f>SUM(C28:C30)</f>
        <v>67</v>
      </c>
      <c r="D31" s="83"/>
      <c r="E31" s="119"/>
      <c r="F31" s="113"/>
      <c r="G31" s="152"/>
      <c r="H31" s="119"/>
      <c r="I31" s="119"/>
      <c r="J31" s="102"/>
      <c r="K31" s="119"/>
      <c r="L31" s="411">
        <f>SUM(L28:L30)</f>
        <v>20.5886301369863</v>
      </c>
      <c r="M31" s="81"/>
    </row>
    <row r="32" spans="1:13" ht="44.45" customHeight="1">
      <c r="A32" s="626" t="s">
        <v>306</v>
      </c>
      <c r="B32" s="198" t="s">
        <v>988</v>
      </c>
      <c r="C32" s="416">
        <f>'ｼｰﾄNO.3（表-3）59頁'!F35</f>
        <v>16</v>
      </c>
      <c r="D32" s="417">
        <f>'ｼｰﾄNO.3（表-3）59頁'!F30</f>
        <v>9</v>
      </c>
      <c r="E32" s="421">
        <v>10</v>
      </c>
      <c r="F32" s="371">
        <v>2.7000000000000001E-3</v>
      </c>
      <c r="G32" s="418">
        <f t="shared" ref="G32:G36" si="7">(C32*D32)/(365*24)*F32</f>
        <v>4.4383561643835611E-5</v>
      </c>
      <c r="H32" s="372">
        <v>1</v>
      </c>
      <c r="I32" s="372">
        <v>20</v>
      </c>
      <c r="J32" s="418">
        <f t="shared" ref="J32:J36" si="8">G32*H32*I32</f>
        <v>8.876712328767122E-4</v>
      </c>
      <c r="K32" s="372">
        <v>842</v>
      </c>
      <c r="L32" s="153">
        <f t="shared" ref="L32:L36" si="9">E32*J32*K32</f>
        <v>7.4741917808219158</v>
      </c>
      <c r="M32" s="81"/>
    </row>
    <row r="33" spans="1:13" ht="58.9" customHeight="1">
      <c r="A33" s="627"/>
      <c r="B33" s="198" t="s">
        <v>950</v>
      </c>
      <c r="C33" s="416">
        <f>'ｼｰﾄNO.3（表-3）59頁'!F36</f>
        <v>12</v>
      </c>
      <c r="D33" s="417">
        <f>'ｼｰﾄNO.3（表-3）59頁'!F30</f>
        <v>9</v>
      </c>
      <c r="E33" s="421">
        <v>20</v>
      </c>
      <c r="F33" s="371">
        <v>2.7000000000000001E-3</v>
      </c>
      <c r="G33" s="418">
        <f t="shared" si="7"/>
        <v>3.328767123287671E-5</v>
      </c>
      <c r="H33" s="372">
        <v>1</v>
      </c>
      <c r="I33" s="372">
        <v>20</v>
      </c>
      <c r="J33" s="418">
        <f t="shared" si="8"/>
        <v>6.6575342465753423E-4</v>
      </c>
      <c r="K33" s="372">
        <v>842</v>
      </c>
      <c r="L33" s="153">
        <f t="shared" si="9"/>
        <v>11.211287671232876</v>
      </c>
      <c r="M33" s="81"/>
    </row>
    <row r="34" spans="1:13" ht="44.45" customHeight="1">
      <c r="A34" s="627"/>
      <c r="B34" s="198" t="s">
        <v>951</v>
      </c>
      <c r="C34" s="416">
        <f>'ｼｰﾄNO.3（表-3）59頁'!F37</f>
        <v>16</v>
      </c>
      <c r="D34" s="417">
        <f>'ｼｰﾄNO.3（表-3）59頁'!F30</f>
        <v>9</v>
      </c>
      <c r="E34" s="421">
        <v>10</v>
      </c>
      <c r="F34" s="371">
        <v>2.7000000000000001E-3</v>
      </c>
      <c r="G34" s="418">
        <f t="shared" si="7"/>
        <v>4.4383561643835611E-5</v>
      </c>
      <c r="H34" s="372">
        <v>1</v>
      </c>
      <c r="I34" s="372">
        <v>20</v>
      </c>
      <c r="J34" s="418">
        <f t="shared" si="8"/>
        <v>8.876712328767122E-4</v>
      </c>
      <c r="K34" s="372">
        <v>842</v>
      </c>
      <c r="L34" s="153">
        <f t="shared" si="9"/>
        <v>7.4741917808219158</v>
      </c>
      <c r="M34" s="81"/>
    </row>
    <row r="35" spans="1:13" ht="44.45" customHeight="1">
      <c r="A35" s="627"/>
      <c r="B35" s="198" t="s">
        <v>952</v>
      </c>
      <c r="C35" s="416">
        <f>'ｼｰﾄNO.3（表-3）59頁'!F38</f>
        <v>18</v>
      </c>
      <c r="D35" s="417">
        <f>'ｼｰﾄNO.3（表-3）59頁'!F30</f>
        <v>9</v>
      </c>
      <c r="E35" s="421">
        <v>10</v>
      </c>
      <c r="F35" s="371">
        <v>2.7000000000000001E-3</v>
      </c>
      <c r="G35" s="418">
        <f t="shared" si="7"/>
        <v>4.9931506849315075E-5</v>
      </c>
      <c r="H35" s="372">
        <v>1</v>
      </c>
      <c r="I35" s="372">
        <v>20</v>
      </c>
      <c r="J35" s="418">
        <f t="shared" si="8"/>
        <v>9.9863013698630156E-4</v>
      </c>
      <c r="K35" s="372">
        <v>842</v>
      </c>
      <c r="L35" s="153">
        <f t="shared" si="9"/>
        <v>8.4084657534246592</v>
      </c>
      <c r="M35" s="81"/>
    </row>
    <row r="36" spans="1:13" ht="44.45" customHeight="1">
      <c r="A36" s="627"/>
      <c r="B36" s="198" t="s">
        <v>953</v>
      </c>
      <c r="C36" s="416">
        <f>'ｼｰﾄNO.3（表-3）59頁'!F39</f>
        <v>12</v>
      </c>
      <c r="D36" s="417">
        <f>'ｼｰﾄNO.3（表-3）59頁'!F30</f>
        <v>9</v>
      </c>
      <c r="E36" s="421">
        <v>10</v>
      </c>
      <c r="F36" s="371">
        <v>2.7000000000000001E-3</v>
      </c>
      <c r="G36" s="418">
        <f t="shared" si="7"/>
        <v>3.328767123287671E-5</v>
      </c>
      <c r="H36" s="372">
        <v>1</v>
      </c>
      <c r="I36" s="372">
        <v>20</v>
      </c>
      <c r="J36" s="418">
        <f t="shared" si="8"/>
        <v>6.6575342465753423E-4</v>
      </c>
      <c r="K36" s="372">
        <v>842</v>
      </c>
      <c r="L36" s="150">
        <f t="shared" si="9"/>
        <v>5.605643835616438</v>
      </c>
      <c r="M36" s="81"/>
    </row>
    <row r="37" spans="1:13" ht="23.45" customHeight="1">
      <c r="A37" s="628"/>
      <c r="B37" s="198" t="s">
        <v>125</v>
      </c>
      <c r="C37" s="358">
        <f>SUM(C32:C36)</f>
        <v>74</v>
      </c>
      <c r="D37" s="83"/>
      <c r="E37" s="113"/>
      <c r="F37" s="119"/>
      <c r="G37" s="119"/>
      <c r="H37" s="119"/>
      <c r="I37" s="119"/>
      <c r="J37" s="119"/>
      <c r="K37" s="114"/>
      <c r="L37" s="412">
        <f>SUM(L32:L36)</f>
        <v>40.173780821917809</v>
      </c>
      <c r="M37" s="81"/>
    </row>
    <row r="38" spans="1:13" ht="9" customHeight="1">
      <c r="A38" s="81"/>
      <c r="B38" s="81"/>
      <c r="C38" s="81"/>
      <c r="D38" s="81"/>
      <c r="K38" s="81"/>
      <c r="L38" s="81"/>
      <c r="M38" s="81"/>
    </row>
    <row r="39" spans="1:13" ht="16.149999999999999" customHeight="1">
      <c r="A39" s="81" t="s">
        <v>748</v>
      </c>
      <c r="B39" s="81"/>
      <c r="C39" s="81"/>
      <c r="D39" s="81"/>
      <c r="K39" s="81"/>
      <c r="L39" s="81"/>
      <c r="M39" s="81"/>
    </row>
    <row r="40" spans="1:13" ht="16.149999999999999" customHeight="1">
      <c r="A40" s="633" t="s">
        <v>587</v>
      </c>
      <c r="B40" s="633"/>
      <c r="C40" s="633"/>
      <c r="D40" s="633"/>
      <c r="E40" s="633"/>
      <c r="F40" s="633"/>
      <c r="G40" s="633"/>
      <c r="H40" s="633"/>
      <c r="I40" s="633"/>
      <c r="K40" s="81"/>
      <c r="L40" s="81"/>
      <c r="M40" s="81"/>
    </row>
    <row r="41" spans="1:13" ht="16.149999999999999" customHeight="1">
      <c r="A41" s="81" t="s">
        <v>749</v>
      </c>
      <c r="B41" s="81"/>
      <c r="C41" s="81"/>
      <c r="D41" s="81"/>
      <c r="G41" s="81"/>
      <c r="H41" s="81"/>
      <c r="I41" s="81"/>
      <c r="K41" s="81"/>
      <c r="L41" s="81"/>
      <c r="M41" s="81"/>
    </row>
    <row r="42" spans="1:13" ht="16.149999999999999" customHeight="1">
      <c r="A42" s="240" t="s">
        <v>750</v>
      </c>
      <c r="B42" s="81"/>
      <c r="C42" s="81"/>
      <c r="D42" s="81"/>
      <c r="K42" s="81"/>
      <c r="L42" s="81"/>
      <c r="M42" s="81"/>
    </row>
    <row r="43" spans="1:13" ht="16.149999999999999" customHeight="1">
      <c r="A43" s="633" t="s">
        <v>751</v>
      </c>
      <c r="B43" s="633"/>
      <c r="C43" s="633"/>
      <c r="D43" s="633"/>
      <c r="E43" s="633"/>
      <c r="F43" s="633"/>
      <c r="G43" s="633"/>
      <c r="H43" s="633"/>
      <c r="I43" s="633"/>
      <c r="K43" s="81"/>
      <c r="L43" s="81"/>
      <c r="M43" s="81"/>
    </row>
    <row r="44" spans="1:13">
      <c r="A44" s="81"/>
      <c r="B44" s="240"/>
      <c r="C44" s="240"/>
      <c r="D44" s="240"/>
      <c r="K44" s="81"/>
      <c r="L44" s="81"/>
      <c r="M44" s="81"/>
    </row>
    <row r="45" spans="1:13">
      <c r="A45" s="81"/>
      <c r="B45" s="81"/>
      <c r="C45" s="81"/>
      <c r="D45" s="81"/>
      <c r="K45" s="81"/>
      <c r="L45" s="81"/>
      <c r="M45" s="81"/>
    </row>
    <row r="46" spans="1:13">
      <c r="A46" s="81"/>
      <c r="B46" s="81"/>
      <c r="C46" s="81"/>
      <c r="D46" s="81"/>
      <c r="K46" s="81"/>
      <c r="L46" s="81"/>
      <c r="M46" s="81"/>
    </row>
    <row r="47" spans="1:13">
      <c r="A47" s="81"/>
      <c r="B47" s="81"/>
      <c r="C47" s="81"/>
      <c r="D47" s="81"/>
      <c r="K47" s="81"/>
      <c r="L47" s="81"/>
      <c r="M47" s="81"/>
    </row>
    <row r="48" spans="1:13">
      <c r="A48" s="81"/>
      <c r="B48" s="81"/>
      <c r="C48" s="81"/>
      <c r="D48" s="81"/>
      <c r="K48" s="81"/>
      <c r="L48" s="81"/>
      <c r="M48" s="81"/>
    </row>
    <row r="49" spans="1:13">
      <c r="A49" s="81"/>
      <c r="B49" s="81"/>
      <c r="C49" s="81"/>
      <c r="D49" s="81"/>
      <c r="K49" s="81"/>
      <c r="L49" s="81"/>
      <c r="M49" s="81"/>
    </row>
    <row r="50" spans="1:13">
      <c r="A50" s="81"/>
      <c r="B50" s="81"/>
      <c r="C50" s="81"/>
      <c r="D50" s="81"/>
      <c r="K50" s="81"/>
      <c r="L50" s="81"/>
      <c r="M50" s="81"/>
    </row>
  </sheetData>
  <mergeCells count="20">
    <mergeCell ref="A43:I43"/>
    <mergeCell ref="A32:A37"/>
    <mergeCell ref="A23:E23"/>
    <mergeCell ref="A21:J21"/>
    <mergeCell ref="A22:I22"/>
    <mergeCell ref="A28:A31"/>
    <mergeCell ref="A27:B27"/>
    <mergeCell ref="F23:L23"/>
    <mergeCell ref="A8:A11"/>
    <mergeCell ref="A12:A17"/>
    <mergeCell ref="A3:E3"/>
    <mergeCell ref="A7:B7"/>
    <mergeCell ref="F3:L3"/>
    <mergeCell ref="B4:B6"/>
    <mergeCell ref="A4:A6"/>
    <mergeCell ref="A19:I19"/>
    <mergeCell ref="A20:I20"/>
    <mergeCell ref="B24:B26"/>
    <mergeCell ref="A24:A26"/>
    <mergeCell ref="A40:I40"/>
  </mergeCells>
  <phoneticPr fontId="3"/>
  <printOptions horizontalCentered="1"/>
  <pageMargins left="0.23622047244094491" right="0.23622047244094491" top="0.6692913385826772" bottom="0.47244094488188981" header="0.31496062992125984" footer="0.31496062992125984"/>
  <pageSetup paperSize="9" scale="64" fitToWidth="0" fitToHeight="0" orientation="portrait" r:id="rId1"/>
  <ignoredErrors>
    <ignoredError sqref="I11 L31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P31" sqref="P31"/>
    </sheetView>
  </sheetViews>
  <sheetFormatPr defaultColWidth="9" defaultRowHeight="13.5"/>
  <cols>
    <col min="1" max="1" width="7.5" style="75" customWidth="1"/>
    <col min="2" max="2" width="16.875" style="75" customWidth="1"/>
    <col min="3" max="3" width="6.5" style="75" customWidth="1"/>
    <col min="4" max="4" width="9.125" style="75" customWidth="1"/>
    <col min="5" max="5" width="9.5" style="104" customWidth="1"/>
    <col min="6" max="6" width="9.5" style="105" customWidth="1"/>
    <col min="7" max="7" width="13.875" style="104" customWidth="1"/>
    <col min="8" max="9" width="14.125" style="104" customWidth="1"/>
    <col min="10" max="10" width="13" style="105" customWidth="1"/>
    <col min="11" max="11" width="14.125" style="75" customWidth="1"/>
    <col min="12" max="12" width="13.75" style="75" customWidth="1"/>
    <col min="13" max="16384" width="9" style="75"/>
  </cols>
  <sheetData>
    <row r="1" spans="1:12" ht="15.6" customHeight="1">
      <c r="A1" s="75" t="s">
        <v>764</v>
      </c>
      <c r="L1" s="228"/>
    </row>
    <row r="2" spans="1:12" ht="15.6" customHeight="1"/>
    <row r="3" spans="1:12">
      <c r="A3" s="668" t="s">
        <v>294</v>
      </c>
      <c r="B3" s="668"/>
      <c r="C3" s="668"/>
      <c r="D3" s="668"/>
      <c r="E3" s="668"/>
      <c r="F3" s="670"/>
      <c r="G3" s="670"/>
      <c r="H3" s="670"/>
      <c r="I3" s="670"/>
      <c r="J3" s="670"/>
      <c r="K3" s="670"/>
      <c r="L3" s="81"/>
    </row>
    <row r="4" spans="1:12" s="82" customFormat="1" ht="33" customHeight="1">
      <c r="A4" s="632" t="s">
        <v>592</v>
      </c>
      <c r="B4" s="631" t="s">
        <v>560</v>
      </c>
      <c r="C4" s="235" t="s">
        <v>122</v>
      </c>
      <c r="D4" s="235" t="s">
        <v>121</v>
      </c>
      <c r="E4" s="106" t="s">
        <v>159</v>
      </c>
      <c r="F4" s="235" t="s">
        <v>298</v>
      </c>
      <c r="G4" s="235" t="s">
        <v>158</v>
      </c>
      <c r="H4" s="107" t="s">
        <v>152</v>
      </c>
      <c r="I4" s="212" t="s">
        <v>124</v>
      </c>
    </row>
    <row r="5" spans="1:12" s="82" customFormat="1" ht="18.600000000000001" customHeight="1">
      <c r="A5" s="632"/>
      <c r="B5" s="631"/>
      <c r="C5" s="88" t="s">
        <v>108</v>
      </c>
      <c r="D5" s="88" t="s">
        <v>564</v>
      </c>
      <c r="E5" s="108" t="s">
        <v>426</v>
      </c>
      <c r="F5" s="154" t="s">
        <v>583</v>
      </c>
      <c r="G5" s="154" t="s">
        <v>732</v>
      </c>
      <c r="H5" s="155" t="s">
        <v>425</v>
      </c>
      <c r="I5" s="154" t="s">
        <v>639</v>
      </c>
    </row>
    <row r="6" spans="1:12" s="82" customFormat="1" ht="36.6" customHeight="1">
      <c r="A6" s="632"/>
      <c r="B6" s="631"/>
      <c r="C6" s="246" t="s">
        <v>57</v>
      </c>
      <c r="D6" s="246" t="s">
        <v>60</v>
      </c>
      <c r="E6" s="110" t="s">
        <v>62</v>
      </c>
      <c r="F6" s="246" t="s">
        <v>70</v>
      </c>
      <c r="G6" s="239" t="s">
        <v>856</v>
      </c>
      <c r="H6" s="149" t="s">
        <v>78</v>
      </c>
      <c r="I6" s="239" t="s">
        <v>770</v>
      </c>
    </row>
    <row r="7" spans="1:12" s="82" customFormat="1" ht="30" customHeight="1">
      <c r="A7" s="622" t="s">
        <v>314</v>
      </c>
      <c r="B7" s="623"/>
      <c r="C7" s="239" t="s">
        <v>761</v>
      </c>
      <c r="D7" s="239" t="s">
        <v>761</v>
      </c>
      <c r="E7" s="112" t="s">
        <v>745</v>
      </c>
      <c r="F7" s="239" t="s">
        <v>742</v>
      </c>
      <c r="G7" s="239" t="s">
        <v>422</v>
      </c>
      <c r="H7" s="111" t="s">
        <v>581</v>
      </c>
      <c r="I7" s="239" t="s">
        <v>857</v>
      </c>
    </row>
    <row r="8" spans="1:12" ht="38.450000000000003" customHeight="1">
      <c r="A8" s="626" t="s">
        <v>305</v>
      </c>
      <c r="B8" s="198" t="s">
        <v>947</v>
      </c>
      <c r="C8" s="416">
        <f>'ｼｰﾄNO.3（表-3）59頁'!F32</f>
        <v>11</v>
      </c>
      <c r="D8" s="417">
        <f>'ｼｰﾄNO.3（表-3）59頁'!F30</f>
        <v>9</v>
      </c>
      <c r="E8" s="421">
        <v>1</v>
      </c>
      <c r="F8" s="371">
        <v>1.4E-3</v>
      </c>
      <c r="G8" s="418">
        <f>(C8*D8)/(365*24)*F8</f>
        <v>1.5821917808219179E-5</v>
      </c>
      <c r="H8" s="372">
        <v>19588000</v>
      </c>
      <c r="I8" s="419">
        <f>E8*G8*H8</f>
        <v>309.91972602739725</v>
      </c>
      <c r="J8" s="81"/>
      <c r="K8" s="81"/>
      <c r="L8" s="81"/>
    </row>
    <row r="9" spans="1:12" ht="44.45" customHeight="1">
      <c r="A9" s="627"/>
      <c r="B9" s="198" t="s">
        <v>948</v>
      </c>
      <c r="C9" s="416">
        <f>'ｼｰﾄNO.3（表-3）59頁'!F33</f>
        <v>18</v>
      </c>
      <c r="D9" s="417">
        <f>'ｼｰﾄNO.3（表-3）59頁'!F30</f>
        <v>9</v>
      </c>
      <c r="E9" s="421">
        <f>E8*2</f>
        <v>2</v>
      </c>
      <c r="F9" s="371">
        <v>1.4E-3</v>
      </c>
      <c r="G9" s="418">
        <f t="shared" ref="G9:G10" si="0">(C9*D9)/(365*24)*F9</f>
        <v>2.5890410958904108E-5</v>
      </c>
      <c r="H9" s="372">
        <v>19588000</v>
      </c>
      <c r="I9" s="419">
        <f t="shared" ref="I9:I10" si="1">E9*G9*H9</f>
        <v>1014.2827397260273</v>
      </c>
      <c r="J9" s="81"/>
      <c r="K9" s="81"/>
      <c r="L9" s="81"/>
    </row>
    <row r="10" spans="1:12" ht="38.450000000000003" customHeight="1">
      <c r="A10" s="627"/>
      <c r="B10" s="198" t="s">
        <v>949</v>
      </c>
      <c r="C10" s="416">
        <f>'ｼｰﾄNO.3（表-3）59頁'!F34</f>
        <v>38</v>
      </c>
      <c r="D10" s="417">
        <f>'ｼｰﾄNO.3（表-3）59頁'!F30</f>
        <v>9</v>
      </c>
      <c r="E10" s="421">
        <v>1</v>
      </c>
      <c r="F10" s="371">
        <v>1.4E-3</v>
      </c>
      <c r="G10" s="418">
        <f t="shared" si="0"/>
        <v>5.4657534246575339E-5</v>
      </c>
      <c r="H10" s="372">
        <v>19588000</v>
      </c>
      <c r="I10" s="420">
        <f t="shared" si="1"/>
        <v>1070.6317808219178</v>
      </c>
      <c r="J10" s="81"/>
      <c r="K10" s="81"/>
      <c r="L10" s="81"/>
    </row>
    <row r="11" spans="1:12" ht="23.45" customHeight="1">
      <c r="A11" s="628"/>
      <c r="B11" s="198" t="s">
        <v>125</v>
      </c>
      <c r="C11" s="358">
        <f>SUM(C8:C10)</f>
        <v>67</v>
      </c>
      <c r="D11" s="83"/>
      <c r="E11" s="119"/>
      <c r="F11" s="113"/>
      <c r="G11" s="152"/>
      <c r="H11" s="119"/>
      <c r="I11" s="408">
        <f>SUM(I8:I10)</f>
        <v>2394.8342465753421</v>
      </c>
      <c r="J11" s="81"/>
      <c r="K11" s="81"/>
      <c r="L11" s="81"/>
    </row>
    <row r="12" spans="1:12" ht="44.45" customHeight="1">
      <c r="A12" s="626" t="s">
        <v>306</v>
      </c>
      <c r="B12" s="198" t="s">
        <v>988</v>
      </c>
      <c r="C12" s="416">
        <f>'ｼｰﾄNO.3（表-3）59頁'!F35</f>
        <v>16</v>
      </c>
      <c r="D12" s="417">
        <f>'ｼｰﾄNO.3（表-3）59頁'!F30</f>
        <v>9</v>
      </c>
      <c r="E12" s="421">
        <v>1</v>
      </c>
      <c r="F12" s="371">
        <v>2.7000000000000001E-3</v>
      </c>
      <c r="G12" s="418">
        <f t="shared" ref="G12:G16" si="2">(C12*D12)/(365*24)*F12</f>
        <v>4.4383561643835611E-5</v>
      </c>
      <c r="H12" s="372">
        <v>19588000</v>
      </c>
      <c r="I12" s="419">
        <f t="shared" ref="I12:I16" si="3">E12*G12*H12</f>
        <v>869.385205479452</v>
      </c>
      <c r="J12" s="81"/>
      <c r="K12" s="81"/>
      <c r="L12" s="81"/>
    </row>
    <row r="13" spans="1:12" ht="58.15" customHeight="1">
      <c r="A13" s="627"/>
      <c r="B13" s="198" t="s">
        <v>950</v>
      </c>
      <c r="C13" s="416">
        <f>'ｼｰﾄNO.3（表-3）59頁'!F36</f>
        <v>12</v>
      </c>
      <c r="D13" s="417">
        <f>'ｼｰﾄNO.3（表-3）59頁'!F30</f>
        <v>9</v>
      </c>
      <c r="E13" s="421">
        <f>E12*2</f>
        <v>2</v>
      </c>
      <c r="F13" s="371">
        <v>2.7000000000000001E-3</v>
      </c>
      <c r="G13" s="418">
        <f t="shared" si="2"/>
        <v>3.328767123287671E-5</v>
      </c>
      <c r="H13" s="372">
        <v>19588000</v>
      </c>
      <c r="I13" s="419">
        <f t="shared" si="3"/>
        <v>1304.077808219178</v>
      </c>
      <c r="J13" s="81"/>
      <c r="K13" s="81"/>
      <c r="L13" s="81"/>
    </row>
    <row r="14" spans="1:12" ht="44.45" customHeight="1">
      <c r="A14" s="627"/>
      <c r="B14" s="198" t="s">
        <v>951</v>
      </c>
      <c r="C14" s="416">
        <f>'ｼｰﾄNO.3（表-3）59頁'!F37</f>
        <v>16</v>
      </c>
      <c r="D14" s="417">
        <f>'ｼｰﾄNO.3（表-3）59頁'!F30</f>
        <v>9</v>
      </c>
      <c r="E14" s="421">
        <v>1</v>
      </c>
      <c r="F14" s="371">
        <v>2.7000000000000001E-3</v>
      </c>
      <c r="G14" s="418">
        <f t="shared" si="2"/>
        <v>4.4383561643835611E-5</v>
      </c>
      <c r="H14" s="372">
        <v>19588000</v>
      </c>
      <c r="I14" s="419">
        <f t="shared" si="3"/>
        <v>869.385205479452</v>
      </c>
      <c r="J14" s="81"/>
      <c r="K14" s="81"/>
      <c r="L14" s="81"/>
    </row>
    <row r="15" spans="1:12" ht="44.45" customHeight="1">
      <c r="A15" s="627"/>
      <c r="B15" s="198" t="s">
        <v>952</v>
      </c>
      <c r="C15" s="416">
        <f>'ｼｰﾄNO.3（表-3）59頁'!F38</f>
        <v>18</v>
      </c>
      <c r="D15" s="417">
        <f>'ｼｰﾄNO.3（表-3）59頁'!F30</f>
        <v>9</v>
      </c>
      <c r="E15" s="421">
        <v>1</v>
      </c>
      <c r="F15" s="371">
        <v>2.7000000000000001E-3</v>
      </c>
      <c r="G15" s="418">
        <f t="shared" si="2"/>
        <v>4.9931506849315075E-5</v>
      </c>
      <c r="H15" s="372">
        <v>19588000</v>
      </c>
      <c r="I15" s="419">
        <f t="shared" si="3"/>
        <v>978.05835616438367</v>
      </c>
      <c r="J15" s="81"/>
      <c r="K15" s="81"/>
      <c r="L15" s="81"/>
    </row>
    <row r="16" spans="1:12" ht="44.45" customHeight="1">
      <c r="A16" s="627"/>
      <c r="B16" s="198" t="s">
        <v>953</v>
      </c>
      <c r="C16" s="416">
        <f>'ｼｰﾄNO.3（表-3）59頁'!F39</f>
        <v>12</v>
      </c>
      <c r="D16" s="417">
        <f>'ｼｰﾄNO.3（表-3）59頁'!F30</f>
        <v>9</v>
      </c>
      <c r="E16" s="421">
        <v>1</v>
      </c>
      <c r="F16" s="371">
        <v>2.7000000000000001E-3</v>
      </c>
      <c r="G16" s="418">
        <f t="shared" si="2"/>
        <v>3.328767123287671E-5</v>
      </c>
      <c r="H16" s="372">
        <v>19588000</v>
      </c>
      <c r="I16" s="420">
        <f t="shared" si="3"/>
        <v>652.038904109589</v>
      </c>
      <c r="J16" s="81"/>
      <c r="K16" s="81"/>
      <c r="L16" s="81"/>
    </row>
    <row r="17" spans="1:12" ht="23.45" customHeight="1">
      <c r="A17" s="628"/>
      <c r="B17" s="198" t="s">
        <v>125</v>
      </c>
      <c r="C17" s="358">
        <f>SUM(C12:C16)</f>
        <v>74</v>
      </c>
      <c r="D17" s="83"/>
      <c r="E17" s="113"/>
      <c r="F17" s="119"/>
      <c r="G17" s="119"/>
      <c r="H17" s="101"/>
      <c r="I17" s="409">
        <f>SUM(I12:I16)</f>
        <v>4672.9454794520543</v>
      </c>
      <c r="J17" s="81"/>
      <c r="K17" s="81"/>
      <c r="L17" s="81"/>
    </row>
    <row r="18" spans="1:12" ht="9" customHeight="1">
      <c r="A18" s="81"/>
      <c r="B18" s="81"/>
      <c r="C18" s="81"/>
      <c r="D18" s="81"/>
      <c r="G18" s="81"/>
      <c r="H18" s="81"/>
      <c r="I18" s="81"/>
      <c r="K18" s="81"/>
      <c r="L18" s="81"/>
    </row>
    <row r="19" spans="1:12" ht="16.149999999999999" customHeight="1">
      <c r="A19" s="81" t="s">
        <v>771</v>
      </c>
      <c r="B19" s="81"/>
      <c r="C19" s="81"/>
      <c r="D19" s="81"/>
      <c r="G19" s="81"/>
      <c r="H19" s="81"/>
      <c r="I19" s="81"/>
      <c r="K19" s="81"/>
      <c r="L19" s="81"/>
    </row>
    <row r="20" spans="1:12" ht="16.149999999999999" customHeight="1">
      <c r="A20" s="81" t="s">
        <v>772</v>
      </c>
      <c r="B20" s="81"/>
      <c r="C20" s="81"/>
      <c r="D20" s="81"/>
      <c r="G20" s="81"/>
      <c r="H20" s="81"/>
      <c r="I20" s="81"/>
      <c r="K20" s="81"/>
      <c r="L20" s="81"/>
    </row>
    <row r="21" spans="1:12" ht="16.149999999999999" customHeight="1">
      <c r="A21" s="81" t="s">
        <v>773</v>
      </c>
      <c r="B21" s="81"/>
      <c r="C21" s="81"/>
      <c r="D21" s="81"/>
      <c r="G21" s="81"/>
      <c r="H21" s="81"/>
      <c r="I21" s="81"/>
      <c r="K21" s="81"/>
      <c r="L21" s="81"/>
    </row>
    <row r="22" spans="1:12" ht="15.6" customHeight="1">
      <c r="A22" s="158"/>
      <c r="B22" s="158"/>
      <c r="C22" s="158"/>
      <c r="D22" s="158"/>
      <c r="E22" s="158"/>
      <c r="F22" s="159"/>
      <c r="G22" s="158"/>
      <c r="H22" s="140"/>
      <c r="I22" s="140"/>
      <c r="K22" s="81"/>
      <c r="L22" s="81"/>
    </row>
    <row r="23" spans="1:12">
      <c r="A23" s="668" t="s">
        <v>297</v>
      </c>
      <c r="B23" s="668"/>
      <c r="C23" s="668"/>
      <c r="D23" s="668"/>
      <c r="E23" s="668"/>
      <c r="F23" s="670"/>
      <c r="G23" s="670"/>
      <c r="H23" s="670"/>
      <c r="I23" s="670"/>
      <c r="J23" s="670"/>
      <c r="K23" s="670"/>
      <c r="L23" s="670"/>
    </row>
    <row r="24" spans="1:12" s="82" customFormat="1" ht="33" customHeight="1">
      <c r="A24" s="656" t="s">
        <v>559</v>
      </c>
      <c r="B24" s="631" t="s">
        <v>560</v>
      </c>
      <c r="C24" s="235" t="s">
        <v>122</v>
      </c>
      <c r="D24" s="235" t="s">
        <v>121</v>
      </c>
      <c r="E24" s="106" t="s">
        <v>159</v>
      </c>
      <c r="F24" s="235" t="s">
        <v>299</v>
      </c>
      <c r="G24" s="235" t="s">
        <v>161</v>
      </c>
      <c r="H24" s="235" t="s">
        <v>164</v>
      </c>
      <c r="I24" s="235" t="s">
        <v>163</v>
      </c>
      <c r="J24" s="235" t="s">
        <v>162</v>
      </c>
      <c r="K24" s="107" t="s">
        <v>156</v>
      </c>
      <c r="L24" s="212" t="s">
        <v>124</v>
      </c>
    </row>
    <row r="25" spans="1:12" s="82" customFormat="1" ht="18.600000000000001" customHeight="1">
      <c r="A25" s="656"/>
      <c r="B25" s="631"/>
      <c r="C25" s="88" t="s">
        <v>108</v>
      </c>
      <c r="D25" s="88" t="s">
        <v>564</v>
      </c>
      <c r="E25" s="108" t="s">
        <v>426</v>
      </c>
      <c r="F25" s="154" t="s">
        <v>583</v>
      </c>
      <c r="G25" s="154" t="s">
        <v>732</v>
      </c>
      <c r="H25" s="154" t="s">
        <v>586</v>
      </c>
      <c r="I25" s="156" t="s">
        <v>456</v>
      </c>
      <c r="J25" s="154" t="s">
        <v>165</v>
      </c>
      <c r="K25" s="155" t="s">
        <v>160</v>
      </c>
      <c r="L25" s="154" t="s">
        <v>638</v>
      </c>
    </row>
    <row r="26" spans="1:12" s="82" customFormat="1" ht="36.6" customHeight="1">
      <c r="A26" s="656"/>
      <c r="B26" s="631"/>
      <c r="C26" s="246" t="s">
        <v>57</v>
      </c>
      <c r="D26" s="246" t="s">
        <v>60</v>
      </c>
      <c r="E26" s="110" t="s">
        <v>62</v>
      </c>
      <c r="F26" s="246" t="s">
        <v>70</v>
      </c>
      <c r="G26" s="239" t="s">
        <v>856</v>
      </c>
      <c r="H26" s="239" t="s">
        <v>78</v>
      </c>
      <c r="I26" s="111" t="s">
        <v>79</v>
      </c>
      <c r="J26" s="239" t="s">
        <v>768</v>
      </c>
      <c r="K26" s="149" t="s">
        <v>80</v>
      </c>
      <c r="L26" s="239" t="s">
        <v>769</v>
      </c>
    </row>
    <row r="27" spans="1:12" s="82" customFormat="1" ht="30" customHeight="1">
      <c r="A27" s="622" t="s">
        <v>314</v>
      </c>
      <c r="B27" s="623"/>
      <c r="C27" s="239" t="s">
        <v>565</v>
      </c>
      <c r="D27" s="239" t="s">
        <v>565</v>
      </c>
      <c r="E27" s="112" t="s">
        <v>629</v>
      </c>
      <c r="F27" s="112" t="s">
        <v>774</v>
      </c>
      <c r="G27" s="239" t="s">
        <v>422</v>
      </c>
      <c r="H27" s="112" t="s">
        <v>775</v>
      </c>
      <c r="I27" s="112" t="s">
        <v>711</v>
      </c>
      <c r="J27" s="239" t="s">
        <v>422</v>
      </c>
      <c r="K27" s="111" t="s">
        <v>776</v>
      </c>
      <c r="L27" s="239" t="s">
        <v>505</v>
      </c>
    </row>
    <row r="28" spans="1:12" ht="38.450000000000003" customHeight="1">
      <c r="A28" s="626" t="s">
        <v>305</v>
      </c>
      <c r="B28" s="198" t="s">
        <v>947</v>
      </c>
      <c r="C28" s="416">
        <f>'ｼｰﾄNO.3（表-3）59頁'!F32</f>
        <v>11</v>
      </c>
      <c r="D28" s="417">
        <f>'ｼｰﾄNO.3（表-3）59頁'!F30</f>
        <v>9</v>
      </c>
      <c r="E28" s="421">
        <v>1</v>
      </c>
      <c r="F28" s="371">
        <v>1.4E-3</v>
      </c>
      <c r="G28" s="418">
        <f>(C28*D28)/(365*24)*F28</f>
        <v>1.5821917808219179E-5</v>
      </c>
      <c r="H28" s="372">
        <v>1</v>
      </c>
      <c r="I28" s="372">
        <v>100</v>
      </c>
      <c r="J28" s="418">
        <f>G28*H28*I28</f>
        <v>1.5821917808219179E-3</v>
      </c>
      <c r="K28" s="372">
        <v>842</v>
      </c>
      <c r="L28" s="422">
        <f>E28*J28*K28</f>
        <v>1.3322054794520548</v>
      </c>
    </row>
    <row r="29" spans="1:12" ht="44.45" customHeight="1">
      <c r="A29" s="627"/>
      <c r="B29" s="198" t="s">
        <v>948</v>
      </c>
      <c r="C29" s="416">
        <f>'ｼｰﾄNO.3（表-3）59頁'!F33</f>
        <v>18</v>
      </c>
      <c r="D29" s="417">
        <f>'ｼｰﾄNO.3（表-3）59頁'!F30</f>
        <v>9</v>
      </c>
      <c r="E29" s="421">
        <v>2</v>
      </c>
      <c r="F29" s="371">
        <v>1.4E-3</v>
      </c>
      <c r="G29" s="418">
        <f t="shared" ref="G29:G30" si="4">(C29*D29)/(365*24)*F29</f>
        <v>2.5890410958904108E-5</v>
      </c>
      <c r="H29" s="372">
        <v>1</v>
      </c>
      <c r="I29" s="372">
        <v>100</v>
      </c>
      <c r="J29" s="418">
        <f t="shared" ref="J29:J30" si="5">G29*H29*I29</f>
        <v>2.5890410958904109E-3</v>
      </c>
      <c r="K29" s="372">
        <v>842</v>
      </c>
      <c r="L29" s="422">
        <f t="shared" ref="L29:L30" si="6">E29*J29*K29</f>
        <v>4.3599452054794519</v>
      </c>
    </row>
    <row r="30" spans="1:12" ht="38.450000000000003" customHeight="1">
      <c r="A30" s="627"/>
      <c r="B30" s="198" t="s">
        <v>949</v>
      </c>
      <c r="C30" s="416">
        <f>'ｼｰﾄNO.3（表-3）59頁'!F34</f>
        <v>38</v>
      </c>
      <c r="D30" s="417">
        <f>'ｼｰﾄNO.3（表-3）59頁'!F30</f>
        <v>9</v>
      </c>
      <c r="E30" s="421">
        <v>1</v>
      </c>
      <c r="F30" s="371">
        <v>1.4E-3</v>
      </c>
      <c r="G30" s="418">
        <f t="shared" si="4"/>
        <v>5.4657534246575339E-5</v>
      </c>
      <c r="H30" s="372">
        <v>1</v>
      </c>
      <c r="I30" s="372">
        <v>100</v>
      </c>
      <c r="J30" s="418">
        <f t="shared" si="5"/>
        <v>5.4657534246575342E-3</v>
      </c>
      <c r="K30" s="372">
        <v>842</v>
      </c>
      <c r="L30" s="423">
        <f t="shared" si="6"/>
        <v>4.6021643835616439</v>
      </c>
    </row>
    <row r="31" spans="1:12" ht="23.45" customHeight="1">
      <c r="A31" s="628"/>
      <c r="B31" s="198" t="s">
        <v>125</v>
      </c>
      <c r="C31" s="358">
        <f>SUM(C28:C30)</f>
        <v>67</v>
      </c>
      <c r="D31" s="83"/>
      <c r="E31" s="119"/>
      <c r="F31" s="113"/>
      <c r="G31" s="152"/>
      <c r="H31" s="119"/>
      <c r="I31" s="119"/>
      <c r="J31" s="102"/>
      <c r="K31" s="119"/>
      <c r="L31" s="411">
        <f>SUM(L28:L30)</f>
        <v>10.294315068493152</v>
      </c>
    </row>
    <row r="32" spans="1:12" ht="44.45" customHeight="1">
      <c r="A32" s="626" t="s">
        <v>306</v>
      </c>
      <c r="B32" s="198" t="s">
        <v>988</v>
      </c>
      <c r="C32" s="416">
        <f>'ｼｰﾄNO.3（表-3）59頁'!F35</f>
        <v>16</v>
      </c>
      <c r="D32" s="417">
        <f>'ｼｰﾄNO.3（表-3）59頁'!F30</f>
        <v>9</v>
      </c>
      <c r="E32" s="421">
        <v>1</v>
      </c>
      <c r="F32" s="371">
        <v>2.7000000000000001E-3</v>
      </c>
      <c r="G32" s="418">
        <f t="shared" ref="G32:G36" si="7">(C32*D32)/(365*24)*F32</f>
        <v>4.4383561643835611E-5</v>
      </c>
      <c r="H32" s="372">
        <v>1</v>
      </c>
      <c r="I32" s="372">
        <v>100</v>
      </c>
      <c r="J32" s="418">
        <f t="shared" ref="J32:J36" si="8">G32*H32*I32</f>
        <v>4.4383561643835615E-3</v>
      </c>
      <c r="K32" s="372">
        <v>842</v>
      </c>
      <c r="L32" s="422">
        <f t="shared" ref="L32:L36" si="9">E32*J32*K32</f>
        <v>3.7370958904109588</v>
      </c>
    </row>
    <row r="33" spans="1:12" ht="58.9" customHeight="1">
      <c r="A33" s="627"/>
      <c r="B33" s="198" t="s">
        <v>950</v>
      </c>
      <c r="C33" s="416">
        <f>'ｼｰﾄNO.3（表-3）59頁'!F36</f>
        <v>12</v>
      </c>
      <c r="D33" s="417">
        <f>'ｼｰﾄNO.3（表-3）59頁'!F30</f>
        <v>9</v>
      </c>
      <c r="E33" s="421">
        <v>2</v>
      </c>
      <c r="F33" s="371">
        <v>2.7000000000000001E-3</v>
      </c>
      <c r="G33" s="418">
        <f t="shared" si="7"/>
        <v>3.328767123287671E-5</v>
      </c>
      <c r="H33" s="372">
        <v>1</v>
      </c>
      <c r="I33" s="372">
        <v>100</v>
      </c>
      <c r="J33" s="418">
        <f t="shared" si="8"/>
        <v>3.3287671232876711E-3</v>
      </c>
      <c r="K33" s="372">
        <v>842</v>
      </c>
      <c r="L33" s="422">
        <f t="shared" si="9"/>
        <v>5.605643835616438</v>
      </c>
    </row>
    <row r="34" spans="1:12" ht="44.45" customHeight="1">
      <c r="A34" s="627"/>
      <c r="B34" s="198" t="s">
        <v>951</v>
      </c>
      <c r="C34" s="416">
        <f>'ｼｰﾄNO.3（表-3）59頁'!F37</f>
        <v>16</v>
      </c>
      <c r="D34" s="417">
        <f>'ｼｰﾄNO.3（表-3）59頁'!F30</f>
        <v>9</v>
      </c>
      <c r="E34" s="421">
        <v>1</v>
      </c>
      <c r="F34" s="371">
        <v>2.7000000000000001E-3</v>
      </c>
      <c r="G34" s="418">
        <f t="shared" si="7"/>
        <v>4.4383561643835611E-5</v>
      </c>
      <c r="H34" s="372">
        <v>1</v>
      </c>
      <c r="I34" s="372">
        <v>100</v>
      </c>
      <c r="J34" s="418">
        <f t="shared" si="8"/>
        <v>4.4383561643835615E-3</v>
      </c>
      <c r="K34" s="372">
        <v>842</v>
      </c>
      <c r="L34" s="422">
        <f t="shared" si="9"/>
        <v>3.7370958904109588</v>
      </c>
    </row>
    <row r="35" spans="1:12" ht="44.45" customHeight="1">
      <c r="A35" s="627"/>
      <c r="B35" s="198" t="s">
        <v>952</v>
      </c>
      <c r="C35" s="416">
        <f>'ｼｰﾄNO.3（表-3）59頁'!F38</f>
        <v>18</v>
      </c>
      <c r="D35" s="417">
        <f>'ｼｰﾄNO.3（表-3）59頁'!F30</f>
        <v>9</v>
      </c>
      <c r="E35" s="421">
        <v>1</v>
      </c>
      <c r="F35" s="371">
        <v>2.7000000000000001E-3</v>
      </c>
      <c r="G35" s="418">
        <f t="shared" si="7"/>
        <v>4.9931506849315075E-5</v>
      </c>
      <c r="H35" s="372">
        <v>1</v>
      </c>
      <c r="I35" s="372">
        <v>100</v>
      </c>
      <c r="J35" s="418">
        <f t="shared" si="8"/>
        <v>4.9931506849315074E-3</v>
      </c>
      <c r="K35" s="372">
        <v>842</v>
      </c>
      <c r="L35" s="422">
        <f t="shared" si="9"/>
        <v>4.2042328767123296</v>
      </c>
    </row>
    <row r="36" spans="1:12" ht="44.45" customHeight="1">
      <c r="A36" s="627"/>
      <c r="B36" s="198" t="s">
        <v>953</v>
      </c>
      <c r="C36" s="416">
        <f>'ｼｰﾄNO.3（表-3）59頁'!F39</f>
        <v>12</v>
      </c>
      <c r="D36" s="417">
        <f>'ｼｰﾄNO.3（表-3）59頁'!F30</f>
        <v>9</v>
      </c>
      <c r="E36" s="421">
        <v>1</v>
      </c>
      <c r="F36" s="371">
        <v>2.7000000000000001E-3</v>
      </c>
      <c r="G36" s="418">
        <f t="shared" si="7"/>
        <v>3.328767123287671E-5</v>
      </c>
      <c r="H36" s="372">
        <v>1</v>
      </c>
      <c r="I36" s="372">
        <v>100</v>
      </c>
      <c r="J36" s="418">
        <f t="shared" si="8"/>
        <v>3.3287671232876711E-3</v>
      </c>
      <c r="K36" s="372">
        <v>842</v>
      </c>
      <c r="L36" s="423">
        <f t="shared" si="9"/>
        <v>2.802821917808219</v>
      </c>
    </row>
    <row r="37" spans="1:12" ht="23.45" customHeight="1">
      <c r="A37" s="628"/>
      <c r="B37" s="198" t="s">
        <v>125</v>
      </c>
      <c r="C37" s="358">
        <f>SUM(C32:C36)</f>
        <v>74</v>
      </c>
      <c r="D37" s="83"/>
      <c r="E37" s="113"/>
      <c r="F37" s="119"/>
      <c r="G37" s="119"/>
      <c r="H37" s="119"/>
      <c r="I37" s="119"/>
      <c r="J37" s="119"/>
      <c r="K37" s="114"/>
      <c r="L37" s="412">
        <f>SUM(L32:L36)</f>
        <v>20.086890410958905</v>
      </c>
    </row>
    <row r="38" spans="1:12" ht="9" customHeight="1">
      <c r="A38" s="81"/>
      <c r="B38" s="81"/>
      <c r="C38" s="81"/>
      <c r="D38" s="81"/>
      <c r="K38" s="81"/>
      <c r="L38" s="81"/>
    </row>
    <row r="39" spans="1:12" ht="16.149999999999999" customHeight="1">
      <c r="A39" s="81" t="s">
        <v>777</v>
      </c>
      <c r="B39" s="81"/>
      <c r="C39" s="81"/>
      <c r="D39" s="81"/>
      <c r="K39" s="81"/>
      <c r="L39" s="81"/>
    </row>
    <row r="40" spans="1:12" ht="16.149999999999999" customHeight="1">
      <c r="A40" s="81" t="s">
        <v>778</v>
      </c>
      <c r="B40" s="81"/>
      <c r="C40" s="81"/>
      <c r="D40" s="81"/>
      <c r="K40" s="81"/>
      <c r="L40" s="81"/>
    </row>
    <row r="41" spans="1:12" ht="16.149999999999999" customHeight="1">
      <c r="A41" s="81" t="s">
        <v>779</v>
      </c>
      <c r="B41" s="81"/>
      <c r="C41" s="81"/>
      <c r="D41" s="81"/>
      <c r="G41" s="81"/>
      <c r="H41" s="81"/>
      <c r="I41" s="81"/>
      <c r="K41" s="81"/>
      <c r="L41" s="81"/>
    </row>
    <row r="42" spans="1:12" ht="16.149999999999999" customHeight="1">
      <c r="A42" s="81" t="s">
        <v>780</v>
      </c>
      <c r="B42" s="81"/>
      <c r="C42" s="81"/>
      <c r="D42" s="81"/>
      <c r="K42" s="81"/>
      <c r="L42" s="81"/>
    </row>
    <row r="43" spans="1:12" ht="16.149999999999999" customHeight="1">
      <c r="A43" s="633" t="s">
        <v>781</v>
      </c>
      <c r="B43" s="633"/>
      <c r="C43" s="633"/>
      <c r="D43" s="633"/>
      <c r="E43" s="633"/>
      <c r="F43" s="633"/>
      <c r="G43" s="633"/>
      <c r="H43" s="633"/>
      <c r="I43" s="633"/>
      <c r="J43" s="633"/>
      <c r="K43" s="81"/>
      <c r="L43" s="81"/>
    </row>
    <row r="44" spans="1:12">
      <c r="A44" s="81"/>
      <c r="B44" s="81"/>
      <c r="C44" s="81"/>
      <c r="D44" s="81"/>
      <c r="K44" s="81"/>
      <c r="L44" s="81"/>
    </row>
    <row r="45" spans="1:12">
      <c r="A45" s="81"/>
      <c r="B45" s="81"/>
      <c r="C45" s="81"/>
      <c r="D45" s="81"/>
      <c r="K45" s="81"/>
      <c r="L45" s="81"/>
    </row>
    <row r="46" spans="1:12">
      <c r="A46" s="81"/>
      <c r="B46" s="81"/>
      <c r="C46" s="81"/>
      <c r="D46" s="81"/>
    </row>
  </sheetData>
  <mergeCells count="15">
    <mergeCell ref="A43:J43"/>
    <mergeCell ref="A32:A37"/>
    <mergeCell ref="A8:A11"/>
    <mergeCell ref="A12:A17"/>
    <mergeCell ref="A23:E23"/>
    <mergeCell ref="A3:E3"/>
    <mergeCell ref="A28:A31"/>
    <mergeCell ref="A27:B27"/>
    <mergeCell ref="A7:B7"/>
    <mergeCell ref="F23:L23"/>
    <mergeCell ref="F3:K3"/>
    <mergeCell ref="B4:B6"/>
    <mergeCell ref="A4:A6"/>
    <mergeCell ref="B24:B26"/>
    <mergeCell ref="A24:A26"/>
  </mergeCells>
  <phoneticPr fontId="3"/>
  <printOptions horizontalCentered="1"/>
  <pageMargins left="0.23622047244094491" right="0.23622047244094491" top="0.59055118110236227" bottom="0.27559055118110237" header="0.31496062992125984" footer="0.19685039370078741"/>
  <pageSetup paperSize="9" scale="66" fitToWidth="0" fitToHeight="0" orientation="portrait" r:id="rId1"/>
  <ignoredErrors>
    <ignoredError sqref="I11 L31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Normal="100" workbookViewId="0">
      <selection activeCell="I1" sqref="I1"/>
    </sheetView>
  </sheetViews>
  <sheetFormatPr defaultColWidth="9" defaultRowHeight="13.5"/>
  <cols>
    <col min="1" max="1" width="7.5" style="75" customWidth="1"/>
    <col min="2" max="2" width="17" style="81" customWidth="1"/>
    <col min="3" max="3" width="7.5" style="75" customWidth="1"/>
    <col min="4" max="4" width="9.625" style="75" customWidth="1"/>
    <col min="5" max="6" width="13.125" style="75" customWidth="1"/>
    <col min="7" max="7" width="13.125" style="104" customWidth="1"/>
    <col min="8" max="8" width="15.125" style="75" customWidth="1"/>
    <col min="9" max="16384" width="9" style="75"/>
  </cols>
  <sheetData>
    <row r="1" spans="1:10">
      <c r="A1" s="634" t="s">
        <v>990</v>
      </c>
      <c r="B1" s="634"/>
      <c r="C1" s="634"/>
      <c r="D1" s="634"/>
      <c r="E1" s="634"/>
      <c r="F1" s="634"/>
      <c r="G1" s="634"/>
      <c r="H1" s="634"/>
      <c r="I1" s="196"/>
    </row>
    <row r="3" spans="1:10" s="82" customFormat="1" ht="33" customHeight="1">
      <c r="A3" s="632" t="s">
        <v>627</v>
      </c>
      <c r="B3" s="631" t="s">
        <v>589</v>
      </c>
      <c r="C3" s="235" t="s">
        <v>122</v>
      </c>
      <c r="D3" s="235" t="s">
        <v>121</v>
      </c>
      <c r="E3" s="235" t="s">
        <v>135</v>
      </c>
      <c r="F3" s="235" t="s">
        <v>137</v>
      </c>
      <c r="G3" s="106" t="s">
        <v>138</v>
      </c>
      <c r="H3" s="212" t="s">
        <v>124</v>
      </c>
    </row>
    <row r="4" spans="1:10" s="82" customFormat="1" ht="18.600000000000001" customHeight="1">
      <c r="A4" s="632"/>
      <c r="B4" s="631"/>
      <c r="C4" s="88" t="s">
        <v>108</v>
      </c>
      <c r="D4" s="88" t="s">
        <v>564</v>
      </c>
      <c r="E4" s="88" t="s">
        <v>136</v>
      </c>
      <c r="F4" s="88" t="s">
        <v>588</v>
      </c>
      <c r="G4" s="108" t="s">
        <v>128</v>
      </c>
      <c r="H4" s="88" t="s">
        <v>638</v>
      </c>
    </row>
    <row r="5" spans="1:10" s="82" customFormat="1" ht="36.6" customHeight="1">
      <c r="A5" s="632"/>
      <c r="B5" s="631"/>
      <c r="C5" s="246" t="s">
        <v>57</v>
      </c>
      <c r="D5" s="246" t="s">
        <v>60</v>
      </c>
      <c r="E5" s="246" t="s">
        <v>62</v>
      </c>
      <c r="F5" s="246" t="s">
        <v>70</v>
      </c>
      <c r="G5" s="110" t="s">
        <v>139</v>
      </c>
      <c r="H5" s="239" t="s">
        <v>843</v>
      </c>
    </row>
    <row r="6" spans="1:10" s="82" customFormat="1" ht="30" customHeight="1">
      <c r="A6" s="622" t="s">
        <v>316</v>
      </c>
      <c r="B6" s="623"/>
      <c r="C6" s="239" t="s">
        <v>761</v>
      </c>
      <c r="D6" s="239" t="s">
        <v>754</v>
      </c>
      <c r="E6" s="239" t="s">
        <v>629</v>
      </c>
      <c r="F6" s="239" t="s">
        <v>742</v>
      </c>
      <c r="G6" s="112" t="s">
        <v>506</v>
      </c>
      <c r="H6" s="239" t="s">
        <v>431</v>
      </c>
    </row>
    <row r="7" spans="1:10" ht="38.450000000000003" customHeight="1">
      <c r="A7" s="626" t="s">
        <v>305</v>
      </c>
      <c r="B7" s="198" t="s">
        <v>947</v>
      </c>
      <c r="C7" s="358">
        <f>'ｼｰﾄNO.3（表-3）59頁'!F32</f>
        <v>11</v>
      </c>
      <c r="D7" s="150">
        <f>'ｼｰﾄNO.3（表-3）59頁'!F30</f>
        <v>9</v>
      </c>
      <c r="E7" s="366">
        <v>50</v>
      </c>
      <c r="F7" s="372">
        <v>10</v>
      </c>
      <c r="G7" s="372">
        <v>217</v>
      </c>
      <c r="H7" s="153">
        <f>(C7*D7*E7*F7*G7)*0.01</f>
        <v>107415</v>
      </c>
      <c r="I7" s="81"/>
      <c r="J7" s="81"/>
    </row>
    <row r="8" spans="1:10" ht="44.45" customHeight="1">
      <c r="A8" s="627"/>
      <c r="B8" s="198" t="s">
        <v>948</v>
      </c>
      <c r="C8" s="358">
        <f>'ｼｰﾄNO.3（表-3）59頁'!F33</f>
        <v>18</v>
      </c>
      <c r="D8" s="150">
        <f>'ｼｰﾄNO.3（表-3）59頁'!F30</f>
        <v>9</v>
      </c>
      <c r="E8" s="366">
        <v>100</v>
      </c>
      <c r="F8" s="372">
        <v>10</v>
      </c>
      <c r="G8" s="372">
        <v>217</v>
      </c>
      <c r="H8" s="153">
        <f>(C8*D8*E8*F8*G8)*0.01</f>
        <v>351540</v>
      </c>
      <c r="I8" s="81"/>
      <c r="J8" s="81"/>
    </row>
    <row r="9" spans="1:10" ht="38.450000000000003" customHeight="1">
      <c r="A9" s="627"/>
      <c r="B9" s="198" t="s">
        <v>949</v>
      </c>
      <c r="C9" s="358">
        <f>'ｼｰﾄNO.3（表-3）59頁'!F34</f>
        <v>38</v>
      </c>
      <c r="D9" s="150">
        <f>'ｼｰﾄNO.3（表-3）59頁'!F30</f>
        <v>9</v>
      </c>
      <c r="E9" s="366">
        <v>50</v>
      </c>
      <c r="F9" s="372">
        <v>10</v>
      </c>
      <c r="G9" s="372">
        <v>217</v>
      </c>
      <c r="H9" s="150">
        <f>(C9*D9*E9*F9*G9)*0.01</f>
        <v>371070</v>
      </c>
      <c r="I9" s="81"/>
      <c r="J9" s="81"/>
    </row>
    <row r="10" spans="1:10" ht="24.95" customHeight="1">
      <c r="A10" s="628"/>
      <c r="B10" s="198" t="s">
        <v>125</v>
      </c>
      <c r="C10" s="358">
        <f>SUM(C7:C9)</f>
        <v>67</v>
      </c>
      <c r="D10" s="83"/>
      <c r="E10" s="86"/>
      <c r="F10" s="101"/>
      <c r="G10" s="119"/>
      <c r="H10" s="411">
        <f>SUM(H7:H9)</f>
        <v>830025</v>
      </c>
      <c r="I10" s="81"/>
      <c r="J10" s="81"/>
    </row>
    <row r="11" spans="1:10" ht="44.45" customHeight="1">
      <c r="A11" s="626" t="s">
        <v>306</v>
      </c>
      <c r="B11" s="198" t="s">
        <v>988</v>
      </c>
      <c r="C11" s="358">
        <f>'ｼｰﾄNO.3（表-3）59頁'!F35</f>
        <v>16</v>
      </c>
      <c r="D11" s="150">
        <f>'ｼｰﾄNO.3（表-3）59頁'!F30</f>
        <v>9</v>
      </c>
      <c r="E11" s="366">
        <v>50</v>
      </c>
      <c r="F11" s="372">
        <v>10</v>
      </c>
      <c r="G11" s="372">
        <v>217</v>
      </c>
      <c r="H11" s="153">
        <f>(C11*D11*E11*F11*G11)*0.01</f>
        <v>156240</v>
      </c>
      <c r="I11" s="81"/>
      <c r="J11" s="81"/>
    </row>
    <row r="12" spans="1:10" ht="58.9" customHeight="1">
      <c r="A12" s="627"/>
      <c r="B12" s="198" t="s">
        <v>950</v>
      </c>
      <c r="C12" s="358">
        <f>'ｼｰﾄNO.3（表-3）59頁'!F36</f>
        <v>12</v>
      </c>
      <c r="D12" s="150">
        <f>'ｼｰﾄNO.3（表-3）59頁'!F30</f>
        <v>9</v>
      </c>
      <c r="E12" s="366">
        <v>100</v>
      </c>
      <c r="F12" s="372">
        <v>10</v>
      </c>
      <c r="G12" s="372">
        <v>217</v>
      </c>
      <c r="H12" s="153">
        <f>(C12*D12*E12*F12*G12)*0.01</f>
        <v>234360</v>
      </c>
      <c r="I12" s="81"/>
      <c r="J12" s="81"/>
    </row>
    <row r="13" spans="1:10" ht="44.45" customHeight="1">
      <c r="A13" s="627"/>
      <c r="B13" s="198" t="s">
        <v>951</v>
      </c>
      <c r="C13" s="358">
        <f>'ｼｰﾄNO.3（表-3）59頁'!F37</f>
        <v>16</v>
      </c>
      <c r="D13" s="150">
        <f>'ｼｰﾄNO.3（表-3）59頁'!F30</f>
        <v>9</v>
      </c>
      <c r="E13" s="366">
        <v>50</v>
      </c>
      <c r="F13" s="372">
        <v>10</v>
      </c>
      <c r="G13" s="372">
        <v>217</v>
      </c>
      <c r="H13" s="153">
        <f>(C13*D13*E13*F13*G13)*0.01</f>
        <v>156240</v>
      </c>
      <c r="I13" s="81"/>
      <c r="J13" s="81"/>
    </row>
    <row r="14" spans="1:10" ht="44.45" customHeight="1">
      <c r="A14" s="627"/>
      <c r="B14" s="198" t="s">
        <v>952</v>
      </c>
      <c r="C14" s="358">
        <f>'ｼｰﾄNO.3（表-3）59頁'!F38</f>
        <v>18</v>
      </c>
      <c r="D14" s="150">
        <f>'ｼｰﾄNO.3（表-3）59頁'!F30</f>
        <v>9</v>
      </c>
      <c r="E14" s="366">
        <v>50</v>
      </c>
      <c r="F14" s="372">
        <v>10</v>
      </c>
      <c r="G14" s="372">
        <v>217</v>
      </c>
      <c r="H14" s="153">
        <f>(C14*D14*E14*F14*G14)*0.01</f>
        <v>175770</v>
      </c>
      <c r="I14" s="81"/>
      <c r="J14" s="81"/>
    </row>
    <row r="15" spans="1:10" ht="44.45" customHeight="1">
      <c r="A15" s="627"/>
      <c r="B15" s="198" t="s">
        <v>953</v>
      </c>
      <c r="C15" s="358">
        <f>'ｼｰﾄNO.3（表-3）59頁'!F39</f>
        <v>12</v>
      </c>
      <c r="D15" s="150">
        <f>'ｼｰﾄNO.3（表-3）59頁'!F30</f>
        <v>9</v>
      </c>
      <c r="E15" s="366">
        <v>50</v>
      </c>
      <c r="F15" s="372">
        <v>10</v>
      </c>
      <c r="G15" s="372">
        <v>217</v>
      </c>
      <c r="H15" s="150">
        <f>(C15*D15*E15*F15*G15)*0.01</f>
        <v>117180</v>
      </c>
      <c r="I15" s="81"/>
      <c r="J15" s="81"/>
    </row>
    <row r="16" spans="1:10" ht="24.95" customHeight="1">
      <c r="A16" s="628"/>
      <c r="B16" s="198" t="s">
        <v>125</v>
      </c>
      <c r="C16" s="358">
        <f>SUM(C11:C15)</f>
        <v>74</v>
      </c>
      <c r="D16" s="83"/>
      <c r="E16" s="86"/>
      <c r="F16" s="86"/>
      <c r="G16" s="119"/>
      <c r="H16" s="412">
        <f>SUM(H11:H15)</f>
        <v>839790</v>
      </c>
      <c r="I16" s="81"/>
      <c r="J16" s="81"/>
    </row>
    <row r="17" spans="1:11" ht="9" customHeight="1">
      <c r="A17" s="81"/>
      <c r="C17" s="81"/>
      <c r="D17" s="81"/>
      <c r="E17" s="81"/>
      <c r="F17" s="81"/>
      <c r="H17" s="81"/>
      <c r="I17" s="81"/>
      <c r="J17" s="81"/>
    </row>
    <row r="18" spans="1:11" ht="16.149999999999999" customHeight="1">
      <c r="A18" s="158" t="s">
        <v>782</v>
      </c>
      <c r="B18" s="158"/>
      <c r="C18" s="158"/>
      <c r="D18" s="158"/>
      <c r="E18" s="158"/>
      <c r="F18" s="158"/>
      <c r="G18" s="158"/>
      <c r="H18" s="158"/>
      <c r="I18" s="158"/>
      <c r="J18" s="81"/>
    </row>
    <row r="19" spans="1:11" ht="16.149999999999999" customHeight="1">
      <c r="A19" s="81" t="s">
        <v>783</v>
      </c>
      <c r="B19" s="240"/>
      <c r="C19" s="240"/>
      <c r="D19" s="240"/>
      <c r="E19" s="240"/>
      <c r="F19" s="240"/>
      <c r="G19" s="240"/>
      <c r="H19" s="240"/>
      <c r="I19" s="240"/>
      <c r="J19" s="81"/>
    </row>
    <row r="20" spans="1:11" ht="16.149999999999999" customHeight="1">
      <c r="A20" s="158" t="s">
        <v>590</v>
      </c>
      <c r="B20" s="158"/>
      <c r="C20" s="158"/>
      <c r="D20" s="158"/>
      <c r="E20" s="158"/>
      <c r="F20" s="158"/>
      <c r="G20" s="158"/>
      <c r="H20" s="240"/>
      <c r="I20" s="240"/>
      <c r="J20" s="81"/>
    </row>
    <row r="21" spans="1:11" ht="9" customHeight="1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04"/>
    </row>
    <row r="22" spans="1:11" ht="16.149999999999999" customHeight="1">
      <c r="A22" s="158" t="s">
        <v>784</v>
      </c>
      <c r="B22" s="158"/>
      <c r="C22" s="158"/>
      <c r="D22" s="158"/>
      <c r="E22" s="158"/>
      <c r="F22" s="158"/>
      <c r="G22" s="158"/>
      <c r="H22" s="158"/>
      <c r="I22" s="158"/>
      <c r="J22" s="81"/>
    </row>
    <row r="23" spans="1:11">
      <c r="A23" s="81"/>
      <c r="C23" s="81"/>
      <c r="D23" s="81"/>
      <c r="E23" s="81"/>
      <c r="F23" s="81"/>
      <c r="H23" s="81"/>
      <c r="I23" s="81"/>
      <c r="J23" s="81"/>
    </row>
    <row r="24" spans="1:11">
      <c r="A24" s="81"/>
      <c r="C24" s="81"/>
      <c r="D24" s="81"/>
      <c r="E24" s="81"/>
      <c r="F24" s="81"/>
      <c r="H24" s="81"/>
      <c r="I24" s="81"/>
      <c r="J24" s="81"/>
    </row>
    <row r="25" spans="1:11">
      <c r="A25" s="81"/>
      <c r="C25" s="81"/>
      <c r="D25" s="81"/>
      <c r="E25" s="81"/>
      <c r="F25" s="81"/>
      <c r="H25" s="81"/>
      <c r="I25" s="81"/>
      <c r="J25" s="81"/>
    </row>
    <row r="26" spans="1:11">
      <c r="A26" s="81"/>
      <c r="C26" s="81"/>
      <c r="D26" s="81"/>
      <c r="E26" s="81"/>
      <c r="F26" s="81"/>
      <c r="H26" s="81"/>
      <c r="I26" s="81"/>
      <c r="J26" s="81"/>
    </row>
    <row r="27" spans="1:11">
      <c r="A27" s="81"/>
      <c r="C27" s="81"/>
      <c r="D27" s="81"/>
      <c r="E27" s="81"/>
      <c r="F27" s="81"/>
      <c r="H27" s="81"/>
      <c r="I27" s="81"/>
      <c r="J27" s="81"/>
    </row>
    <row r="28" spans="1:11">
      <c r="A28" s="81"/>
      <c r="C28" s="81"/>
      <c r="D28" s="81"/>
      <c r="E28" s="81"/>
      <c r="F28" s="81"/>
      <c r="H28" s="81"/>
      <c r="I28" s="81"/>
      <c r="J28" s="81"/>
    </row>
    <row r="29" spans="1:11">
      <c r="A29" s="81"/>
      <c r="C29" s="81"/>
      <c r="D29" s="81"/>
      <c r="E29" s="81"/>
      <c r="F29" s="81"/>
      <c r="H29" s="81"/>
      <c r="I29" s="81"/>
      <c r="J29" s="81"/>
    </row>
    <row r="30" spans="1:11">
      <c r="A30" s="81"/>
      <c r="C30" s="81"/>
      <c r="D30" s="81"/>
      <c r="E30" s="81"/>
      <c r="F30" s="81"/>
      <c r="H30" s="81"/>
      <c r="I30" s="81"/>
      <c r="J30" s="81"/>
    </row>
  </sheetData>
  <mergeCells count="6">
    <mergeCell ref="A1:H1"/>
    <mergeCell ref="A7:A10"/>
    <mergeCell ref="A11:A16"/>
    <mergeCell ref="A6:B6"/>
    <mergeCell ref="B3:B5"/>
    <mergeCell ref="A3:A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H10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>
      <selection activeCell="J1" sqref="J1"/>
    </sheetView>
  </sheetViews>
  <sheetFormatPr defaultColWidth="9" defaultRowHeight="13.5"/>
  <cols>
    <col min="1" max="1" width="7.5" style="75" customWidth="1"/>
    <col min="2" max="2" width="17" style="75" customWidth="1"/>
    <col min="3" max="3" width="7.5" style="75" customWidth="1"/>
    <col min="4" max="6" width="10.875" style="75" customWidth="1"/>
    <col min="7" max="7" width="14.5" style="75" customWidth="1"/>
    <col min="8" max="8" width="14.125" style="104" customWidth="1"/>
    <col min="9" max="9" width="19.5" style="75" customWidth="1"/>
    <col min="10" max="16384" width="9" style="75"/>
  </cols>
  <sheetData>
    <row r="1" spans="1:9" ht="15.6" customHeight="1">
      <c r="A1" s="75" t="s">
        <v>785</v>
      </c>
      <c r="I1" s="196"/>
    </row>
    <row r="2" spans="1:9" ht="15.6" customHeight="1"/>
    <row r="3" spans="1:9" s="82" customFormat="1" ht="33" customHeight="1">
      <c r="A3" s="632" t="s">
        <v>591</v>
      </c>
      <c r="B3" s="631" t="s">
        <v>589</v>
      </c>
      <c r="C3" s="235" t="s">
        <v>122</v>
      </c>
      <c r="D3" s="235" t="s">
        <v>121</v>
      </c>
      <c r="E3" s="235" t="s">
        <v>135</v>
      </c>
      <c r="F3" s="235" t="s">
        <v>143</v>
      </c>
      <c r="G3" s="235" t="s">
        <v>141</v>
      </c>
      <c r="H3" s="106" t="s">
        <v>140</v>
      </c>
      <c r="I3" s="212" t="s">
        <v>124</v>
      </c>
    </row>
    <row r="4" spans="1:9" s="82" customFormat="1" ht="18.600000000000001" customHeight="1">
      <c r="A4" s="632"/>
      <c r="B4" s="631"/>
      <c r="C4" s="88" t="s">
        <v>108</v>
      </c>
      <c r="D4" s="88" t="s">
        <v>564</v>
      </c>
      <c r="E4" s="88" t="s">
        <v>136</v>
      </c>
      <c r="F4" s="88" t="s">
        <v>588</v>
      </c>
      <c r="G4" s="88" t="s">
        <v>59</v>
      </c>
      <c r="H4" s="108" t="s">
        <v>786</v>
      </c>
      <c r="I4" s="88" t="s">
        <v>638</v>
      </c>
    </row>
    <row r="5" spans="1:9" s="82" customFormat="1" ht="36.6" customHeight="1">
      <c r="A5" s="632"/>
      <c r="B5" s="631"/>
      <c r="C5" s="246" t="s">
        <v>57</v>
      </c>
      <c r="D5" s="246" t="s">
        <v>60</v>
      </c>
      <c r="E5" s="246" t="s">
        <v>62</v>
      </c>
      <c r="F5" s="246" t="s">
        <v>70</v>
      </c>
      <c r="G5" s="246" t="s">
        <v>142</v>
      </c>
      <c r="H5" s="110" t="s">
        <v>78</v>
      </c>
      <c r="I5" s="239" t="s">
        <v>788</v>
      </c>
    </row>
    <row r="6" spans="1:9" s="82" customFormat="1" ht="34.5" customHeight="1">
      <c r="A6" s="622" t="s">
        <v>318</v>
      </c>
      <c r="B6" s="623"/>
      <c r="C6" s="239" t="s">
        <v>754</v>
      </c>
      <c r="D6" s="239" t="s">
        <v>787</v>
      </c>
      <c r="E6" s="239" t="s">
        <v>789</v>
      </c>
      <c r="F6" s="239" t="s">
        <v>742</v>
      </c>
      <c r="G6" s="239" t="s">
        <v>790</v>
      </c>
      <c r="H6" s="239" t="s">
        <v>427</v>
      </c>
      <c r="I6" s="239" t="s">
        <v>428</v>
      </c>
    </row>
    <row r="7" spans="1:9" ht="38.450000000000003" customHeight="1">
      <c r="A7" s="626" t="s">
        <v>305</v>
      </c>
      <c r="B7" s="198" t="s">
        <v>947</v>
      </c>
      <c r="C7" s="358">
        <f>'ｼｰﾄNO.3（表-3）59頁'!F32</f>
        <v>11</v>
      </c>
      <c r="D7" s="150">
        <f>'ｼｰﾄNO.3（表-3）59頁'!F30</f>
        <v>9</v>
      </c>
      <c r="E7" s="366">
        <v>50</v>
      </c>
      <c r="F7" s="372">
        <v>5</v>
      </c>
      <c r="G7" s="372">
        <v>30</v>
      </c>
      <c r="H7" s="325">
        <v>25.57</v>
      </c>
      <c r="I7" s="153">
        <f>(C7*D7*E7*F7*G7*H7)*0.01</f>
        <v>189857.25</v>
      </c>
    </row>
    <row r="8" spans="1:9" ht="44.45" customHeight="1">
      <c r="A8" s="627"/>
      <c r="B8" s="198" t="s">
        <v>948</v>
      </c>
      <c r="C8" s="358">
        <f>'ｼｰﾄNO.3（表-3）59頁'!F33</f>
        <v>18</v>
      </c>
      <c r="D8" s="150">
        <f>'ｼｰﾄNO.3（表-3）59頁'!F30</f>
        <v>9</v>
      </c>
      <c r="E8" s="366">
        <v>100</v>
      </c>
      <c r="F8" s="372">
        <v>5</v>
      </c>
      <c r="G8" s="372">
        <v>30</v>
      </c>
      <c r="H8" s="325">
        <v>25.57</v>
      </c>
      <c r="I8" s="153">
        <f>(C8*D8*E8*F8*G8*H8)*0.01</f>
        <v>621351</v>
      </c>
    </row>
    <row r="9" spans="1:9" ht="38.450000000000003" customHeight="1">
      <c r="A9" s="627"/>
      <c r="B9" s="198" t="s">
        <v>949</v>
      </c>
      <c r="C9" s="358">
        <f>'ｼｰﾄNO.3（表-3）59頁'!F34</f>
        <v>38</v>
      </c>
      <c r="D9" s="150">
        <f>'ｼｰﾄNO.3（表-3）59頁'!F30</f>
        <v>9</v>
      </c>
      <c r="E9" s="366">
        <v>50</v>
      </c>
      <c r="F9" s="372">
        <v>5</v>
      </c>
      <c r="G9" s="372">
        <v>30</v>
      </c>
      <c r="H9" s="325">
        <v>25.57</v>
      </c>
      <c r="I9" s="150">
        <f>(C9*D9*E9*F9*G9*H9)*0.01</f>
        <v>655870.5</v>
      </c>
    </row>
    <row r="10" spans="1:9" ht="24.6" customHeight="1">
      <c r="A10" s="628"/>
      <c r="B10" s="198" t="s">
        <v>125</v>
      </c>
      <c r="C10" s="358">
        <f>SUM(C7:C9)</f>
        <v>67</v>
      </c>
      <c r="D10" s="83"/>
      <c r="E10" s="86"/>
      <c r="F10" s="113"/>
      <c r="G10" s="119"/>
      <c r="H10" s="102"/>
      <c r="I10" s="411">
        <f>SUM(I7:I9)</f>
        <v>1467078.75</v>
      </c>
    </row>
    <row r="11" spans="1:9" ht="44.45" customHeight="1">
      <c r="A11" s="626" t="s">
        <v>306</v>
      </c>
      <c r="B11" s="198" t="s">
        <v>988</v>
      </c>
      <c r="C11" s="358">
        <f>'ｼｰﾄNO.3（表-3）59頁'!F35</f>
        <v>16</v>
      </c>
      <c r="D11" s="150">
        <f>'ｼｰﾄNO.3（表-3）59頁'!F30</f>
        <v>9</v>
      </c>
      <c r="E11" s="366">
        <v>50</v>
      </c>
      <c r="F11" s="372">
        <v>5</v>
      </c>
      <c r="G11" s="372">
        <v>30</v>
      </c>
      <c r="H11" s="325">
        <v>25.57</v>
      </c>
      <c r="I11" s="153">
        <f>(C11*D11*E11*F11*G11*H11)*0.01</f>
        <v>276156</v>
      </c>
    </row>
    <row r="12" spans="1:9" ht="58.9" customHeight="1">
      <c r="A12" s="627"/>
      <c r="B12" s="198" t="s">
        <v>950</v>
      </c>
      <c r="C12" s="358">
        <f>'ｼｰﾄNO.3（表-3）59頁'!F36</f>
        <v>12</v>
      </c>
      <c r="D12" s="150">
        <f>'ｼｰﾄNO.3（表-3）59頁'!F30</f>
        <v>9</v>
      </c>
      <c r="E12" s="366">
        <v>100</v>
      </c>
      <c r="F12" s="372">
        <v>5</v>
      </c>
      <c r="G12" s="372">
        <v>30</v>
      </c>
      <c r="H12" s="325">
        <v>25.57</v>
      </c>
      <c r="I12" s="153">
        <f>(C12*D12*E12*F12*G12*H12)*0.01</f>
        <v>414234</v>
      </c>
    </row>
    <row r="13" spans="1:9" ht="44.45" customHeight="1">
      <c r="A13" s="627"/>
      <c r="B13" s="198" t="s">
        <v>951</v>
      </c>
      <c r="C13" s="358">
        <f>'ｼｰﾄNO.3（表-3）59頁'!F37</f>
        <v>16</v>
      </c>
      <c r="D13" s="150">
        <f>'ｼｰﾄNO.3（表-3）59頁'!F30</f>
        <v>9</v>
      </c>
      <c r="E13" s="366">
        <v>50</v>
      </c>
      <c r="F13" s="372">
        <v>5</v>
      </c>
      <c r="G13" s="372">
        <v>30</v>
      </c>
      <c r="H13" s="325">
        <v>25.57</v>
      </c>
      <c r="I13" s="153">
        <f>(C13*D13*E13*F13*G13*H13)*0.01</f>
        <v>276156</v>
      </c>
    </row>
    <row r="14" spans="1:9" ht="44.45" customHeight="1">
      <c r="A14" s="627"/>
      <c r="B14" s="198" t="s">
        <v>952</v>
      </c>
      <c r="C14" s="358">
        <f>'ｼｰﾄNO.3（表-3）59頁'!F38</f>
        <v>18</v>
      </c>
      <c r="D14" s="150">
        <f>'ｼｰﾄNO.3（表-3）59頁'!F30</f>
        <v>9</v>
      </c>
      <c r="E14" s="366">
        <v>50</v>
      </c>
      <c r="F14" s="372">
        <v>5</v>
      </c>
      <c r="G14" s="372">
        <v>30</v>
      </c>
      <c r="H14" s="325">
        <v>25.57</v>
      </c>
      <c r="I14" s="153">
        <f>(C14*D14*E14*F14*G14*H14)*0.01</f>
        <v>310675.5</v>
      </c>
    </row>
    <row r="15" spans="1:9" ht="44.45" customHeight="1">
      <c r="A15" s="627"/>
      <c r="B15" s="198" t="s">
        <v>953</v>
      </c>
      <c r="C15" s="358">
        <f>'ｼｰﾄNO.3（表-3）59頁'!F39</f>
        <v>12</v>
      </c>
      <c r="D15" s="150">
        <f>'ｼｰﾄNO.3（表-3）59頁'!F30</f>
        <v>9</v>
      </c>
      <c r="E15" s="366">
        <v>50</v>
      </c>
      <c r="F15" s="372">
        <v>5</v>
      </c>
      <c r="G15" s="372">
        <v>30</v>
      </c>
      <c r="H15" s="325">
        <v>25.57</v>
      </c>
      <c r="I15" s="150">
        <f>(C15*D15*E15*F15*G15*H15)*0.01</f>
        <v>207117</v>
      </c>
    </row>
    <row r="16" spans="1:9" ht="24.6" customHeight="1">
      <c r="A16" s="628"/>
      <c r="B16" s="198" t="s">
        <v>125</v>
      </c>
      <c r="C16" s="358">
        <f>SUM(C11:C15)</f>
        <v>74</v>
      </c>
      <c r="D16" s="83"/>
      <c r="E16" s="86"/>
      <c r="F16" s="86"/>
      <c r="G16" s="86"/>
      <c r="H16" s="119"/>
      <c r="I16" s="412">
        <f>SUM(I11:I15)</f>
        <v>1484338.5</v>
      </c>
    </row>
    <row r="17" spans="1:9" ht="9" customHeight="1">
      <c r="A17" s="81"/>
      <c r="B17" s="81"/>
      <c r="C17" s="81"/>
      <c r="D17" s="81"/>
      <c r="E17" s="81"/>
      <c r="F17" s="81"/>
      <c r="G17" s="81"/>
      <c r="I17" s="81"/>
    </row>
    <row r="18" spans="1:9" ht="16.149999999999999" customHeight="1">
      <c r="A18" s="633" t="s">
        <v>782</v>
      </c>
      <c r="B18" s="633"/>
      <c r="C18" s="633"/>
      <c r="D18" s="633"/>
      <c r="E18" s="633"/>
      <c r="F18" s="633"/>
      <c r="G18" s="633"/>
      <c r="H18" s="633"/>
      <c r="I18" s="633"/>
    </row>
    <row r="19" spans="1:9" ht="16.149999999999999" customHeight="1">
      <c r="A19" s="81" t="s">
        <v>783</v>
      </c>
      <c r="B19" s="240"/>
      <c r="C19" s="240"/>
      <c r="D19" s="240"/>
      <c r="E19" s="240"/>
      <c r="F19" s="240"/>
      <c r="G19" s="240"/>
      <c r="H19" s="240"/>
      <c r="I19" s="240"/>
    </row>
    <row r="20" spans="1:9" ht="9" customHeight="1">
      <c r="A20" s="671"/>
      <c r="B20" s="671"/>
      <c r="C20" s="671"/>
      <c r="D20" s="671"/>
      <c r="E20" s="671"/>
      <c r="F20" s="671"/>
      <c r="G20" s="671"/>
      <c r="H20" s="671"/>
      <c r="I20" s="671"/>
    </row>
    <row r="21" spans="1:9" ht="16.149999999999999" customHeight="1">
      <c r="A21" s="633" t="s">
        <v>791</v>
      </c>
      <c r="B21" s="633"/>
      <c r="C21" s="633"/>
      <c r="D21" s="633"/>
      <c r="E21" s="633"/>
      <c r="F21" s="633"/>
      <c r="G21" s="633"/>
      <c r="H21" s="633"/>
      <c r="I21" s="633"/>
    </row>
    <row r="22" spans="1:9" ht="9" customHeight="1">
      <c r="A22" s="240"/>
      <c r="B22" s="240"/>
      <c r="C22" s="240"/>
      <c r="D22" s="240"/>
      <c r="E22" s="240"/>
      <c r="F22" s="240"/>
      <c r="G22" s="240"/>
      <c r="H22" s="240"/>
      <c r="I22" s="240"/>
    </row>
    <row r="23" spans="1:9" ht="16.149999999999999" customHeight="1">
      <c r="A23" s="81" t="s">
        <v>792</v>
      </c>
      <c r="B23" s="81"/>
      <c r="C23" s="81"/>
      <c r="D23" s="81"/>
      <c r="E23" s="81"/>
      <c r="F23" s="81"/>
      <c r="G23" s="81"/>
      <c r="I23" s="81"/>
    </row>
    <row r="24" spans="1:9" ht="21" customHeight="1">
      <c r="A24" s="81"/>
      <c r="B24" s="81"/>
      <c r="C24" s="81"/>
      <c r="D24" s="81"/>
      <c r="E24" s="81"/>
      <c r="F24" s="81"/>
      <c r="G24" s="81"/>
      <c r="I24" s="81"/>
    </row>
    <row r="25" spans="1:9" ht="18.75" customHeight="1">
      <c r="A25" s="81"/>
      <c r="B25" s="81"/>
      <c r="C25" s="81"/>
      <c r="D25" s="81"/>
      <c r="E25" s="81"/>
      <c r="F25" s="81"/>
      <c r="G25" s="81"/>
      <c r="I25" s="81"/>
    </row>
  </sheetData>
  <mergeCells count="8">
    <mergeCell ref="A6:B6"/>
    <mergeCell ref="A18:I18"/>
    <mergeCell ref="A20:I20"/>
    <mergeCell ref="A21:I21"/>
    <mergeCell ref="B3:B5"/>
    <mergeCell ref="A3:A5"/>
    <mergeCell ref="A7:A10"/>
    <mergeCell ref="A11:A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ignoredErrors>
    <ignoredError sqref="I10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Normal="100" workbookViewId="0">
      <selection activeCell="K1" sqref="K1"/>
    </sheetView>
  </sheetViews>
  <sheetFormatPr defaultColWidth="9" defaultRowHeight="13.5"/>
  <cols>
    <col min="1" max="1" width="8.625" style="75" customWidth="1"/>
    <col min="2" max="2" width="17" style="75" customWidth="1"/>
    <col min="3" max="3" width="6.75" style="75" customWidth="1"/>
    <col min="4" max="4" width="10.875" style="75" customWidth="1"/>
    <col min="5" max="5" width="10" style="75" bestFit="1" customWidth="1"/>
    <col min="6" max="6" width="9.875" style="75" customWidth="1"/>
    <col min="7" max="7" width="14.75" style="75" customWidth="1"/>
    <col min="8" max="8" width="16.625" style="75" customWidth="1"/>
    <col min="9" max="9" width="13.375" style="104" customWidth="1"/>
    <col min="10" max="10" width="19.125" style="75" customWidth="1"/>
    <col min="11" max="16384" width="9" style="75"/>
  </cols>
  <sheetData>
    <row r="1" spans="1:13" ht="15.6" customHeight="1">
      <c r="A1" s="75" t="s">
        <v>793</v>
      </c>
      <c r="J1" s="194"/>
    </row>
    <row r="2" spans="1:13" ht="15.6" customHeight="1"/>
    <row r="3" spans="1:13" s="82" customFormat="1" ht="33" customHeight="1">
      <c r="A3" s="632" t="s">
        <v>591</v>
      </c>
      <c r="B3" s="631" t="s">
        <v>589</v>
      </c>
      <c r="C3" s="235" t="s">
        <v>122</v>
      </c>
      <c r="D3" s="672" t="s">
        <v>28</v>
      </c>
      <c r="E3" s="673"/>
      <c r="F3" s="235" t="s">
        <v>135</v>
      </c>
      <c r="G3" s="235" t="s">
        <v>147</v>
      </c>
      <c r="H3" s="235" t="s">
        <v>144</v>
      </c>
      <c r="I3" s="106" t="s">
        <v>140</v>
      </c>
      <c r="J3" s="212" t="s">
        <v>124</v>
      </c>
    </row>
    <row r="4" spans="1:13" s="82" customFormat="1" ht="18.600000000000001" customHeight="1">
      <c r="A4" s="632"/>
      <c r="B4" s="631"/>
      <c r="C4" s="244" t="s">
        <v>108</v>
      </c>
      <c r="D4" s="246" t="s">
        <v>457</v>
      </c>
      <c r="E4" s="246" t="s">
        <v>564</v>
      </c>
      <c r="F4" s="244" t="s">
        <v>136</v>
      </c>
      <c r="G4" s="244" t="s">
        <v>588</v>
      </c>
      <c r="H4" s="244" t="s">
        <v>59</v>
      </c>
      <c r="I4" s="157" t="s">
        <v>786</v>
      </c>
      <c r="J4" s="244" t="s">
        <v>638</v>
      </c>
    </row>
    <row r="5" spans="1:13" s="82" customFormat="1" ht="36.6" customHeight="1">
      <c r="A5" s="632"/>
      <c r="B5" s="631"/>
      <c r="C5" s="246" t="s">
        <v>57</v>
      </c>
      <c r="D5" s="239" t="s">
        <v>422</v>
      </c>
      <c r="E5" s="246" t="s">
        <v>60</v>
      </c>
      <c r="F5" s="246" t="s">
        <v>62</v>
      </c>
      <c r="G5" s="246" t="s">
        <v>70</v>
      </c>
      <c r="H5" s="246" t="s">
        <v>75</v>
      </c>
      <c r="I5" s="110" t="s">
        <v>78</v>
      </c>
      <c r="J5" s="239" t="s">
        <v>788</v>
      </c>
    </row>
    <row r="6" spans="1:13" s="82" customFormat="1" ht="34.15" customHeight="1">
      <c r="A6" s="622" t="s">
        <v>330</v>
      </c>
      <c r="B6" s="623"/>
      <c r="C6" s="239" t="s">
        <v>754</v>
      </c>
      <c r="D6" s="239" t="s">
        <v>422</v>
      </c>
      <c r="E6" s="237" t="s">
        <v>745</v>
      </c>
      <c r="F6" s="239" t="s">
        <v>796</v>
      </c>
      <c r="G6" s="239" t="s">
        <v>507</v>
      </c>
      <c r="H6" s="239" t="s">
        <v>508</v>
      </c>
      <c r="I6" s="112" t="s">
        <v>795</v>
      </c>
      <c r="J6" s="239" t="s">
        <v>429</v>
      </c>
    </row>
    <row r="7" spans="1:13" ht="19.149999999999999" customHeight="1">
      <c r="A7" s="626" t="s">
        <v>305</v>
      </c>
      <c r="B7" s="540" t="s">
        <v>938</v>
      </c>
      <c r="C7" s="650">
        <f>'ｼｰﾄNO.3（表-3）59頁'!F32</f>
        <v>11</v>
      </c>
      <c r="D7" s="153" t="s">
        <v>145</v>
      </c>
      <c r="E7" s="422">
        <v>3</v>
      </c>
      <c r="F7" s="366">
        <v>50</v>
      </c>
      <c r="G7" s="325">
        <v>4.3</v>
      </c>
      <c r="H7" s="372">
        <v>3</v>
      </c>
      <c r="I7" s="325">
        <v>25.57</v>
      </c>
      <c r="J7" s="153">
        <f>(C7*E7*F7*G7*H7*I7)*0.01</f>
        <v>5442.5744999999997</v>
      </c>
      <c r="K7" s="81"/>
    </row>
    <row r="8" spans="1:13" ht="19.149999999999999" customHeight="1">
      <c r="A8" s="627"/>
      <c r="B8" s="542"/>
      <c r="C8" s="650"/>
      <c r="D8" s="160" t="s">
        <v>146</v>
      </c>
      <c r="E8" s="428">
        <v>9</v>
      </c>
      <c r="F8" s="429">
        <v>50</v>
      </c>
      <c r="G8" s="430">
        <v>0.66</v>
      </c>
      <c r="H8" s="431">
        <v>3</v>
      </c>
      <c r="I8" s="430">
        <v>25.57</v>
      </c>
      <c r="J8" s="424">
        <f>(C7*E7:E8*F8*G8*H8*I8)*0.01</f>
        <v>2506.1157000000003</v>
      </c>
      <c r="K8" s="81"/>
    </row>
    <row r="9" spans="1:13" ht="22.15" customHeight="1">
      <c r="A9" s="627"/>
      <c r="B9" s="540" t="s">
        <v>939</v>
      </c>
      <c r="C9" s="650">
        <f>'ｼｰﾄNO.3（表-3）59頁'!F33</f>
        <v>18</v>
      </c>
      <c r="D9" s="153" t="s">
        <v>145</v>
      </c>
      <c r="E9" s="422">
        <v>3</v>
      </c>
      <c r="F9" s="366">
        <v>100</v>
      </c>
      <c r="G9" s="325">
        <v>4.3</v>
      </c>
      <c r="H9" s="372">
        <v>3</v>
      </c>
      <c r="I9" s="325">
        <v>25.57</v>
      </c>
      <c r="J9" s="153">
        <f>(C9*E9*F9*G9*H9*I9)*0.01</f>
        <v>17812.062000000002</v>
      </c>
      <c r="K9" s="81"/>
    </row>
    <row r="10" spans="1:13" ht="22.15" customHeight="1">
      <c r="A10" s="627"/>
      <c r="B10" s="542"/>
      <c r="C10" s="650"/>
      <c r="D10" s="160" t="s">
        <v>146</v>
      </c>
      <c r="E10" s="428">
        <v>9</v>
      </c>
      <c r="F10" s="429">
        <v>100</v>
      </c>
      <c r="G10" s="430">
        <v>0.66</v>
      </c>
      <c r="H10" s="431">
        <v>3</v>
      </c>
      <c r="I10" s="430">
        <v>25.57</v>
      </c>
      <c r="J10" s="424">
        <f>(C9*E9:E10*F10*G10*H10*I10)*0.01</f>
        <v>8201.8332000000009</v>
      </c>
      <c r="K10" s="81"/>
    </row>
    <row r="11" spans="1:13" ht="19.149999999999999" customHeight="1">
      <c r="A11" s="627"/>
      <c r="B11" s="540" t="s">
        <v>940</v>
      </c>
      <c r="C11" s="618">
        <f>'ｼｰﾄNO.3（表-3）59頁'!F34</f>
        <v>38</v>
      </c>
      <c r="D11" s="153" t="s">
        <v>145</v>
      </c>
      <c r="E11" s="422">
        <v>3</v>
      </c>
      <c r="F11" s="366">
        <v>50</v>
      </c>
      <c r="G11" s="325">
        <v>4.3</v>
      </c>
      <c r="H11" s="372">
        <v>3</v>
      </c>
      <c r="I11" s="325">
        <v>25.57</v>
      </c>
      <c r="J11" s="153">
        <f>(C11*E11*F11*G11*H11*I11)*0.01</f>
        <v>18801.621000000003</v>
      </c>
      <c r="K11" s="81"/>
    </row>
    <row r="12" spans="1:13" ht="19.149999999999999" customHeight="1">
      <c r="A12" s="627"/>
      <c r="B12" s="542"/>
      <c r="C12" s="674"/>
      <c r="D12" s="160" t="s">
        <v>146</v>
      </c>
      <c r="E12" s="428">
        <v>9</v>
      </c>
      <c r="F12" s="429">
        <v>50</v>
      </c>
      <c r="G12" s="430">
        <v>0.66</v>
      </c>
      <c r="H12" s="431">
        <v>3</v>
      </c>
      <c r="I12" s="430">
        <v>25.57</v>
      </c>
      <c r="J12" s="425">
        <f>(C11*E11:E12*F12*G12*H12*I12)*0.01</f>
        <v>8657.490600000001</v>
      </c>
      <c r="K12" s="81"/>
    </row>
    <row r="13" spans="1:13" ht="22.15" customHeight="1">
      <c r="A13" s="628"/>
      <c r="B13" s="198" t="s">
        <v>125</v>
      </c>
      <c r="C13" s="358">
        <f>SUM(C7:C12)</f>
        <v>67</v>
      </c>
      <c r="D13" s="83"/>
      <c r="E13" s="83"/>
      <c r="F13" s="86"/>
      <c r="G13" s="113"/>
      <c r="H13" s="119"/>
      <c r="I13" s="161"/>
      <c r="J13" s="411">
        <f>SUM(J7:J11)</f>
        <v>52764.20640000001</v>
      </c>
      <c r="K13" s="81"/>
    </row>
    <row r="14" spans="1:13" ht="22.15" customHeight="1">
      <c r="A14" s="626" t="s">
        <v>306</v>
      </c>
      <c r="B14" s="540" t="s">
        <v>941</v>
      </c>
      <c r="C14" s="650">
        <f>'ｼｰﾄNO.3（表-3）59頁'!F35</f>
        <v>16</v>
      </c>
      <c r="D14" s="153" t="s">
        <v>148</v>
      </c>
      <c r="E14" s="422">
        <v>3</v>
      </c>
      <c r="F14" s="366">
        <v>50</v>
      </c>
      <c r="G14" s="325">
        <v>4.3</v>
      </c>
      <c r="H14" s="372">
        <v>3</v>
      </c>
      <c r="I14" s="325">
        <v>25.57</v>
      </c>
      <c r="J14" s="153">
        <f>(C14*E14*F14*G14*H14*I14)*0.01</f>
        <v>7916.4719999999998</v>
      </c>
      <c r="K14" s="81"/>
    </row>
    <row r="15" spans="1:13" ht="22.15" customHeight="1">
      <c r="A15" s="627"/>
      <c r="B15" s="542"/>
      <c r="C15" s="650"/>
      <c r="D15" s="160" t="s">
        <v>149</v>
      </c>
      <c r="E15" s="428">
        <v>9</v>
      </c>
      <c r="F15" s="429">
        <v>50</v>
      </c>
      <c r="G15" s="430">
        <v>0.66</v>
      </c>
      <c r="H15" s="431">
        <v>3</v>
      </c>
      <c r="I15" s="430">
        <v>25.57</v>
      </c>
      <c r="J15" s="424">
        <f>(C14*E14:E15*F15*G15*H15*I15)*0.01</f>
        <v>3645.2592</v>
      </c>
      <c r="K15" s="81"/>
    </row>
    <row r="16" spans="1:13" ht="29.45" customHeight="1">
      <c r="A16" s="627"/>
      <c r="B16" s="540" t="s">
        <v>942</v>
      </c>
      <c r="C16" s="650">
        <f>'ｼｰﾄNO.3（表-3）59頁'!F36</f>
        <v>12</v>
      </c>
      <c r="D16" s="153" t="s">
        <v>148</v>
      </c>
      <c r="E16" s="422">
        <v>3</v>
      </c>
      <c r="F16" s="366">
        <v>100</v>
      </c>
      <c r="G16" s="325">
        <v>4.3</v>
      </c>
      <c r="H16" s="432">
        <v>3</v>
      </c>
      <c r="I16" s="433">
        <v>25.57</v>
      </c>
      <c r="J16" s="417">
        <f>(C16*E16*F16*G16*H16*I16)*0.01</f>
        <v>11874.708000000001</v>
      </c>
      <c r="K16" s="81"/>
      <c r="M16" s="312"/>
    </row>
    <row r="17" spans="1:11" ht="29.45" customHeight="1">
      <c r="A17" s="627"/>
      <c r="B17" s="542"/>
      <c r="C17" s="650"/>
      <c r="D17" s="160" t="s">
        <v>149</v>
      </c>
      <c r="E17" s="428">
        <v>9</v>
      </c>
      <c r="F17" s="429">
        <v>100</v>
      </c>
      <c r="G17" s="430">
        <v>0.66</v>
      </c>
      <c r="H17" s="434">
        <v>3</v>
      </c>
      <c r="I17" s="435">
        <v>25.57</v>
      </c>
      <c r="J17" s="426">
        <f>(C16*E16:E17*F17*G17*H17*I17)*0.01</f>
        <v>5467.8887999999997</v>
      </c>
      <c r="K17" s="81"/>
    </row>
    <row r="18" spans="1:11" ht="22.15" customHeight="1">
      <c r="A18" s="627"/>
      <c r="B18" s="540" t="s">
        <v>943</v>
      </c>
      <c r="C18" s="675">
        <f>'ｼｰﾄNO.3（表-3）59頁'!F37</f>
        <v>16</v>
      </c>
      <c r="D18" s="153" t="s">
        <v>145</v>
      </c>
      <c r="E18" s="436">
        <v>3</v>
      </c>
      <c r="F18" s="366">
        <v>50</v>
      </c>
      <c r="G18" s="325">
        <v>4.3</v>
      </c>
      <c r="H18" s="372">
        <v>3</v>
      </c>
      <c r="I18" s="325">
        <v>25.57</v>
      </c>
      <c r="J18" s="153">
        <f>(C18*E18*F18*G18*H18*I18)*0.01</f>
        <v>7916.4719999999998</v>
      </c>
      <c r="K18" s="81"/>
    </row>
    <row r="19" spans="1:11" ht="22.15" customHeight="1">
      <c r="A19" s="627"/>
      <c r="B19" s="542"/>
      <c r="C19" s="675"/>
      <c r="D19" s="162" t="s">
        <v>146</v>
      </c>
      <c r="E19" s="437">
        <v>9</v>
      </c>
      <c r="F19" s="429">
        <v>50</v>
      </c>
      <c r="G19" s="430">
        <v>0.66</v>
      </c>
      <c r="H19" s="431">
        <v>3</v>
      </c>
      <c r="I19" s="430">
        <v>25.57</v>
      </c>
      <c r="J19" s="424">
        <f>(C18*E18:E19*F19*G19*H19*I19)*0.01</f>
        <v>3645.2592</v>
      </c>
      <c r="K19" s="81"/>
    </row>
    <row r="20" spans="1:11" ht="22.15" customHeight="1">
      <c r="A20" s="627"/>
      <c r="B20" s="540" t="s">
        <v>944</v>
      </c>
      <c r="C20" s="675">
        <f>'ｼｰﾄNO.3（表-3）59頁'!F38</f>
        <v>18</v>
      </c>
      <c r="D20" s="153" t="s">
        <v>145</v>
      </c>
      <c r="E20" s="436">
        <v>3</v>
      </c>
      <c r="F20" s="366">
        <v>50</v>
      </c>
      <c r="G20" s="325">
        <v>4.3</v>
      </c>
      <c r="H20" s="372">
        <v>3</v>
      </c>
      <c r="I20" s="325">
        <v>25.57</v>
      </c>
      <c r="J20" s="153">
        <f>(C20*E20*F20*G20*H20*I20)*0.01</f>
        <v>8906.0310000000009</v>
      </c>
      <c r="K20" s="81"/>
    </row>
    <row r="21" spans="1:11" ht="22.15" customHeight="1">
      <c r="A21" s="627"/>
      <c r="B21" s="542"/>
      <c r="C21" s="675"/>
      <c r="D21" s="151" t="s">
        <v>146</v>
      </c>
      <c r="E21" s="437">
        <v>9</v>
      </c>
      <c r="F21" s="429">
        <v>50</v>
      </c>
      <c r="G21" s="430">
        <v>0.66</v>
      </c>
      <c r="H21" s="431">
        <v>3</v>
      </c>
      <c r="I21" s="430">
        <v>25.57</v>
      </c>
      <c r="J21" s="151">
        <f>(C20*E20:E21*F21*G21*H21*I21)*0.01</f>
        <v>4100.9166000000005</v>
      </c>
      <c r="K21" s="81"/>
    </row>
    <row r="22" spans="1:11" ht="22.15" customHeight="1">
      <c r="A22" s="627"/>
      <c r="B22" s="540" t="s">
        <v>945</v>
      </c>
      <c r="C22" s="650">
        <f>'ｼｰﾄNO.3（表-3）59頁'!F39</f>
        <v>12</v>
      </c>
      <c r="D22" s="150" t="s">
        <v>148</v>
      </c>
      <c r="E22" s="422">
        <v>3</v>
      </c>
      <c r="F22" s="366">
        <v>50</v>
      </c>
      <c r="G22" s="325">
        <v>4.3</v>
      </c>
      <c r="H22" s="372">
        <v>3</v>
      </c>
      <c r="I22" s="325">
        <v>25.57</v>
      </c>
      <c r="J22" s="153">
        <f>(C22*E22*F22*G22*H22*I22)*0.01</f>
        <v>5937.3540000000003</v>
      </c>
      <c r="K22" s="81"/>
    </row>
    <row r="23" spans="1:11" ht="22.15" customHeight="1">
      <c r="A23" s="627"/>
      <c r="B23" s="542"/>
      <c r="C23" s="650"/>
      <c r="D23" s="160" t="s">
        <v>146</v>
      </c>
      <c r="E23" s="428">
        <v>9</v>
      </c>
      <c r="F23" s="429">
        <v>50</v>
      </c>
      <c r="G23" s="430">
        <v>0.66</v>
      </c>
      <c r="H23" s="438">
        <v>3</v>
      </c>
      <c r="I23" s="370">
        <v>25.57</v>
      </c>
      <c r="J23" s="427">
        <f>(C22*E22:E23*F23*G23*H23*I23)*0.01</f>
        <v>2733.9443999999999</v>
      </c>
      <c r="K23" s="81"/>
    </row>
    <row r="24" spans="1:11" ht="22.15" customHeight="1">
      <c r="A24" s="628"/>
      <c r="B24" s="198" t="s">
        <v>125</v>
      </c>
      <c r="C24" s="358">
        <f>SUM(C14:C23)</f>
        <v>74</v>
      </c>
      <c r="D24" s="83"/>
      <c r="E24" s="83"/>
      <c r="F24" s="86"/>
      <c r="G24" s="101"/>
      <c r="H24" s="86"/>
      <c r="I24" s="163"/>
      <c r="J24" s="412">
        <f>SUM(J14:J22)</f>
        <v>59410.360800000002</v>
      </c>
      <c r="K24" s="81"/>
    </row>
    <row r="25" spans="1:11" ht="9" customHeight="1">
      <c r="A25" s="81"/>
      <c r="B25" s="81"/>
      <c r="C25" s="81"/>
      <c r="D25" s="81"/>
      <c r="E25" s="81"/>
      <c r="F25" s="81"/>
      <c r="G25" s="81"/>
      <c r="H25" s="81"/>
      <c r="J25" s="81"/>
      <c r="K25" s="81"/>
    </row>
    <row r="26" spans="1:11" ht="16.149999999999999" customHeight="1">
      <c r="A26" s="81" t="s">
        <v>797</v>
      </c>
      <c r="B26" s="81"/>
      <c r="C26" s="81"/>
      <c r="D26" s="81"/>
      <c r="E26" s="81"/>
      <c r="F26" s="81"/>
      <c r="G26" s="81"/>
      <c r="H26" s="81"/>
      <c r="J26" s="81"/>
      <c r="K26" s="81"/>
    </row>
    <row r="27" spans="1:11" ht="16.149999999999999" customHeight="1">
      <c r="A27" s="81" t="s">
        <v>794</v>
      </c>
      <c r="B27" s="81"/>
      <c r="C27" s="81"/>
      <c r="D27" s="81"/>
      <c r="E27" s="81"/>
      <c r="F27" s="81"/>
      <c r="G27" s="81"/>
      <c r="H27" s="81"/>
      <c r="J27" s="81"/>
      <c r="K27" s="81"/>
    </row>
    <row r="28" spans="1:11" ht="9" customHeight="1">
      <c r="A28" s="81"/>
      <c r="B28" s="81"/>
      <c r="C28" s="81"/>
      <c r="D28" s="81"/>
      <c r="E28" s="81"/>
      <c r="F28" s="81"/>
      <c r="G28" s="81"/>
      <c r="H28" s="81"/>
      <c r="J28" s="81"/>
      <c r="K28" s="81"/>
    </row>
    <row r="29" spans="1:11" ht="16.149999999999999" customHeight="1">
      <c r="A29" s="633" t="s">
        <v>798</v>
      </c>
      <c r="B29" s="633"/>
      <c r="C29" s="633"/>
      <c r="D29" s="633"/>
      <c r="E29" s="633"/>
      <c r="F29" s="633"/>
      <c r="G29" s="633"/>
      <c r="H29" s="633"/>
      <c r="I29" s="633"/>
      <c r="J29" s="81"/>
      <c r="K29" s="81"/>
    </row>
    <row r="30" spans="1:11" ht="16.149999999999999" customHeight="1">
      <c r="A30" s="81" t="s">
        <v>799</v>
      </c>
      <c r="B30" s="240"/>
      <c r="C30" s="240"/>
      <c r="D30" s="240"/>
      <c r="E30" s="240"/>
      <c r="F30" s="240"/>
      <c r="G30" s="240"/>
      <c r="H30" s="240"/>
      <c r="I30" s="240"/>
      <c r="J30" s="81"/>
      <c r="K30" s="81"/>
    </row>
  </sheetData>
  <mergeCells count="23">
    <mergeCell ref="A29:I29"/>
    <mergeCell ref="A7:A13"/>
    <mergeCell ref="A14:A24"/>
    <mergeCell ref="C7:C8"/>
    <mergeCell ref="C9:C10"/>
    <mergeCell ref="C14:C15"/>
    <mergeCell ref="B20:B21"/>
    <mergeCell ref="B22:B23"/>
    <mergeCell ref="C16:C17"/>
    <mergeCell ref="C18:C19"/>
    <mergeCell ref="C20:C21"/>
    <mergeCell ref="D3:E3"/>
    <mergeCell ref="B18:B19"/>
    <mergeCell ref="C11:C12"/>
    <mergeCell ref="C22:C23"/>
    <mergeCell ref="B7:B8"/>
    <mergeCell ref="B9:B10"/>
    <mergeCell ref="B11:B12"/>
    <mergeCell ref="B14:B15"/>
    <mergeCell ref="B16:B17"/>
    <mergeCell ref="B3:B5"/>
    <mergeCell ref="A6:B6"/>
    <mergeCell ref="A3:A5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79" orientation="portrait" r:id="rId1"/>
  <ignoredErrors>
    <ignoredError sqref="J9 J11 J13:J14" formula="1"/>
    <ignoredError sqref="J8 J10 J12 J15:J24" formula="1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I1" sqref="I1"/>
    </sheetView>
  </sheetViews>
  <sheetFormatPr defaultColWidth="9" defaultRowHeight="13.5"/>
  <cols>
    <col min="1" max="1" width="8.625" style="81" customWidth="1"/>
    <col min="2" max="2" width="17" style="81" customWidth="1"/>
    <col min="3" max="3" width="7.5" style="81" customWidth="1"/>
    <col min="4" max="5" width="10.875" style="81" customWidth="1"/>
    <col min="6" max="6" width="12.375" style="81" customWidth="1"/>
    <col min="7" max="7" width="13.5" style="81" customWidth="1"/>
    <col min="8" max="8" width="17" style="104" customWidth="1"/>
    <col min="9" max="16384" width="9" style="81"/>
  </cols>
  <sheetData>
    <row r="1" spans="1:11" ht="15.6" customHeight="1">
      <c r="A1" s="241" t="s">
        <v>800</v>
      </c>
      <c r="B1" s="82"/>
      <c r="C1" s="82"/>
      <c r="D1" s="82"/>
      <c r="E1" s="82"/>
      <c r="F1" s="82"/>
      <c r="G1" s="82"/>
      <c r="H1" s="196"/>
      <c r="J1" s="82"/>
    </row>
    <row r="2" spans="1:11" ht="15.6" customHeight="1"/>
    <row r="3" spans="1:11" s="82" customFormat="1" ht="46.15" customHeight="1">
      <c r="A3" s="626" t="s">
        <v>592</v>
      </c>
      <c r="B3" s="212"/>
      <c r="C3" s="235" t="s">
        <v>122</v>
      </c>
      <c r="D3" s="235" t="s">
        <v>121</v>
      </c>
      <c r="E3" s="235" t="s">
        <v>168</v>
      </c>
      <c r="F3" s="235" t="s">
        <v>801</v>
      </c>
      <c r="G3" s="106" t="s">
        <v>430</v>
      </c>
      <c r="H3" s="212" t="s">
        <v>124</v>
      </c>
    </row>
    <row r="4" spans="1:11" s="82" customFormat="1" ht="23.25" customHeight="1">
      <c r="A4" s="627"/>
      <c r="B4" s="164" t="s">
        <v>519</v>
      </c>
      <c r="C4" s="88" t="s">
        <v>108</v>
      </c>
      <c r="D4" s="88" t="s">
        <v>802</v>
      </c>
      <c r="E4" s="88" t="s">
        <v>169</v>
      </c>
      <c r="F4" s="88" t="s">
        <v>803</v>
      </c>
      <c r="G4" s="108" t="s">
        <v>170</v>
      </c>
      <c r="H4" s="88" t="s">
        <v>638</v>
      </c>
      <c r="K4" s="240"/>
    </row>
    <row r="5" spans="1:11" s="82" customFormat="1" ht="30.75" customHeight="1">
      <c r="A5" s="628"/>
      <c r="B5" s="251"/>
      <c r="C5" s="246" t="s">
        <v>57</v>
      </c>
      <c r="D5" s="246" t="s">
        <v>60</v>
      </c>
      <c r="E5" s="246" t="s">
        <v>62</v>
      </c>
      <c r="F5" s="246" t="s">
        <v>70</v>
      </c>
      <c r="G5" s="112" t="s">
        <v>75</v>
      </c>
      <c r="H5" s="239" t="s">
        <v>811</v>
      </c>
    </row>
    <row r="6" spans="1:11" s="82" customFormat="1" ht="34.5" customHeight="1">
      <c r="A6" s="622" t="s">
        <v>318</v>
      </c>
      <c r="B6" s="623"/>
      <c r="C6" s="239" t="s">
        <v>754</v>
      </c>
      <c r="D6" s="239" t="s">
        <v>761</v>
      </c>
      <c r="E6" s="239" t="s">
        <v>702</v>
      </c>
      <c r="F6" s="239" t="s">
        <v>804</v>
      </c>
      <c r="G6" s="239" t="s">
        <v>805</v>
      </c>
      <c r="H6" s="239" t="s">
        <v>494</v>
      </c>
    </row>
    <row r="7" spans="1:11" ht="38.450000000000003" customHeight="1">
      <c r="A7" s="626" t="s">
        <v>305</v>
      </c>
      <c r="B7" s="198" t="s">
        <v>947</v>
      </c>
      <c r="C7" s="358">
        <f>'ｼｰﾄNO.3（表-3）59頁'!F32</f>
        <v>11</v>
      </c>
      <c r="D7" s="150">
        <f>'ｼｰﾄNO.3（表-3）59頁'!F30</f>
        <v>9</v>
      </c>
      <c r="E7" s="366">
        <v>10</v>
      </c>
      <c r="F7" s="372">
        <v>1</v>
      </c>
      <c r="G7" s="372">
        <v>4000</v>
      </c>
      <c r="H7" s="153">
        <f>C7*E7*F7*G7</f>
        <v>440000</v>
      </c>
      <c r="I7" s="196"/>
      <c r="J7" s="196"/>
    </row>
    <row r="8" spans="1:11" ht="44.45" customHeight="1">
      <c r="A8" s="627"/>
      <c r="B8" s="198" t="s">
        <v>948</v>
      </c>
      <c r="C8" s="358">
        <f>'ｼｰﾄNO.3（表-3）59頁'!F33</f>
        <v>18</v>
      </c>
      <c r="D8" s="150">
        <f>'ｼｰﾄNO.3（表-3）59頁'!F30</f>
        <v>9</v>
      </c>
      <c r="E8" s="366">
        <v>20</v>
      </c>
      <c r="F8" s="372">
        <v>1</v>
      </c>
      <c r="G8" s="372">
        <v>4000</v>
      </c>
      <c r="H8" s="153">
        <f t="shared" ref="H8:H9" si="0">C8*E8*F8*G8</f>
        <v>1440000</v>
      </c>
    </row>
    <row r="9" spans="1:11" ht="38.450000000000003" customHeight="1">
      <c r="A9" s="627"/>
      <c r="B9" s="198" t="s">
        <v>949</v>
      </c>
      <c r="C9" s="358">
        <f>'ｼｰﾄNO.3（表-3）59頁'!F34</f>
        <v>38</v>
      </c>
      <c r="D9" s="150">
        <f>'ｼｰﾄNO.3（表-3）59頁'!F30</f>
        <v>9</v>
      </c>
      <c r="E9" s="366">
        <v>10</v>
      </c>
      <c r="F9" s="372">
        <v>1</v>
      </c>
      <c r="G9" s="372">
        <v>4000</v>
      </c>
      <c r="H9" s="417">
        <f t="shared" si="0"/>
        <v>1520000</v>
      </c>
    </row>
    <row r="10" spans="1:11" ht="24.95" customHeight="1">
      <c r="A10" s="628"/>
      <c r="B10" s="198" t="s">
        <v>125</v>
      </c>
      <c r="C10" s="358">
        <f>SUM(C7:C9)</f>
        <v>67</v>
      </c>
      <c r="D10" s="83"/>
      <c r="E10" s="86"/>
      <c r="F10" s="119"/>
      <c r="G10" s="119"/>
      <c r="H10" s="359">
        <f>SUM(H7:H9)</f>
        <v>3400000</v>
      </c>
    </row>
    <row r="11" spans="1:11" ht="44.45" customHeight="1">
      <c r="A11" s="626" t="s">
        <v>306</v>
      </c>
      <c r="B11" s="198" t="s">
        <v>988</v>
      </c>
      <c r="C11" s="358">
        <f>'ｼｰﾄNO.3（表-3）59頁'!F35</f>
        <v>16</v>
      </c>
      <c r="D11" s="150">
        <f>'ｼｰﾄNO.3（表-3）59頁'!F30</f>
        <v>9</v>
      </c>
      <c r="E11" s="366">
        <v>10</v>
      </c>
      <c r="F11" s="372">
        <v>1</v>
      </c>
      <c r="G11" s="372">
        <v>4000</v>
      </c>
      <c r="H11" s="153">
        <f>C11*E11*F11*G11</f>
        <v>640000</v>
      </c>
    </row>
    <row r="12" spans="1:11" ht="58.9" customHeight="1">
      <c r="A12" s="627"/>
      <c r="B12" s="198" t="s">
        <v>950</v>
      </c>
      <c r="C12" s="358">
        <f>'ｼｰﾄNO.3（表-3）59頁'!F36</f>
        <v>12</v>
      </c>
      <c r="D12" s="150">
        <f>'ｼｰﾄNO.3（表-3）59頁'!F30</f>
        <v>9</v>
      </c>
      <c r="E12" s="366">
        <v>20</v>
      </c>
      <c r="F12" s="372">
        <v>1</v>
      </c>
      <c r="G12" s="372">
        <v>4000</v>
      </c>
      <c r="H12" s="153">
        <f>C12*E12*F12*G12</f>
        <v>960000</v>
      </c>
    </row>
    <row r="13" spans="1:11" ht="44.45" customHeight="1">
      <c r="A13" s="627"/>
      <c r="B13" s="198" t="s">
        <v>951</v>
      </c>
      <c r="C13" s="358">
        <f>'ｼｰﾄNO.3（表-3）59頁'!F37</f>
        <v>16</v>
      </c>
      <c r="D13" s="150">
        <f>'ｼｰﾄNO.3（表-3）59頁'!F30</f>
        <v>9</v>
      </c>
      <c r="E13" s="366">
        <v>10</v>
      </c>
      <c r="F13" s="372">
        <v>1</v>
      </c>
      <c r="G13" s="372">
        <v>4000</v>
      </c>
      <c r="H13" s="153">
        <f>C13*E13*F13*G13</f>
        <v>640000</v>
      </c>
    </row>
    <row r="14" spans="1:11" ht="44.45" customHeight="1">
      <c r="A14" s="627"/>
      <c r="B14" s="198" t="s">
        <v>952</v>
      </c>
      <c r="C14" s="358">
        <f>'ｼｰﾄNO.3（表-3）59頁'!F38</f>
        <v>18</v>
      </c>
      <c r="D14" s="150">
        <f>'ｼｰﾄNO.3（表-3）59頁'!F30</f>
        <v>9</v>
      </c>
      <c r="E14" s="366">
        <v>10</v>
      </c>
      <c r="F14" s="372">
        <v>1</v>
      </c>
      <c r="G14" s="372">
        <v>4000</v>
      </c>
      <c r="H14" s="153">
        <f>C14*E14*F14*G14</f>
        <v>720000</v>
      </c>
    </row>
    <row r="15" spans="1:11" ht="44.45" customHeight="1">
      <c r="A15" s="627"/>
      <c r="B15" s="198" t="s">
        <v>953</v>
      </c>
      <c r="C15" s="358">
        <f>'ｼｰﾄNO.3（表-3）59頁'!F39</f>
        <v>12</v>
      </c>
      <c r="D15" s="150">
        <f>'ｼｰﾄNO.3（表-3）59頁'!F30</f>
        <v>9</v>
      </c>
      <c r="E15" s="366">
        <v>10</v>
      </c>
      <c r="F15" s="372">
        <v>1</v>
      </c>
      <c r="G15" s="372">
        <v>4000</v>
      </c>
      <c r="H15" s="150">
        <f>C15*E15*F15*G15</f>
        <v>480000</v>
      </c>
    </row>
    <row r="16" spans="1:11" ht="24.75" customHeight="1">
      <c r="A16" s="628"/>
      <c r="B16" s="198" t="s">
        <v>125</v>
      </c>
      <c r="C16" s="358">
        <f>SUM(C11:C15)</f>
        <v>74</v>
      </c>
      <c r="D16" s="83"/>
      <c r="E16" s="86"/>
      <c r="F16" s="86"/>
      <c r="G16" s="86"/>
      <c r="H16" s="412">
        <f>SUM(H11:H15)</f>
        <v>3440000</v>
      </c>
    </row>
    <row r="17" spans="1:1" ht="9" customHeight="1"/>
    <row r="18" spans="1:1" ht="16.149999999999999" customHeight="1">
      <c r="A18" s="81" t="s">
        <v>806</v>
      </c>
    </row>
    <row r="19" spans="1:1" ht="16.149999999999999" customHeight="1">
      <c r="A19" s="81" t="s">
        <v>807</v>
      </c>
    </row>
    <row r="20" spans="1:1" ht="9" customHeight="1"/>
    <row r="21" spans="1:1" ht="16.149999999999999" customHeight="1">
      <c r="A21" s="81" t="s">
        <v>808</v>
      </c>
    </row>
    <row r="22" spans="1:1" ht="9" customHeight="1"/>
    <row r="23" spans="1:1" ht="16.149999999999999" customHeight="1">
      <c r="A23" s="81" t="s">
        <v>809</v>
      </c>
    </row>
  </sheetData>
  <mergeCells count="4">
    <mergeCell ref="A7:A10"/>
    <mergeCell ref="A11:A16"/>
    <mergeCell ref="A6:B6"/>
    <mergeCell ref="A3:A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5" fitToWidth="0" fitToHeight="0" orientation="portrait" r:id="rId1"/>
  <ignoredErrors>
    <ignoredError sqref="H10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J1" sqref="J1"/>
    </sheetView>
  </sheetViews>
  <sheetFormatPr defaultColWidth="9" defaultRowHeight="13.5"/>
  <cols>
    <col min="1" max="1" width="8.625" style="75" customWidth="1"/>
    <col min="2" max="2" width="17" style="75" customWidth="1"/>
    <col min="3" max="3" width="7.5" style="75" customWidth="1"/>
    <col min="4" max="5" width="10.875" style="75" customWidth="1"/>
    <col min="6" max="7" width="12.375" style="75" customWidth="1"/>
    <col min="8" max="8" width="17" style="104" customWidth="1"/>
    <col min="9" max="9" width="9" style="75" hidden="1" customWidth="1"/>
    <col min="10" max="16384" width="9" style="75"/>
  </cols>
  <sheetData>
    <row r="1" spans="1:8" ht="15.6" customHeight="1">
      <c r="A1" s="75" t="s">
        <v>810</v>
      </c>
      <c r="H1" s="194"/>
    </row>
    <row r="2" spans="1:8" ht="15.6" customHeight="1"/>
    <row r="3" spans="1:8" s="82" customFormat="1" ht="46.15" customHeight="1">
      <c r="A3" s="632" t="s">
        <v>591</v>
      </c>
      <c r="B3" s="631" t="s">
        <v>589</v>
      </c>
      <c r="C3" s="235" t="s">
        <v>122</v>
      </c>
      <c r="D3" s="235" t="s">
        <v>121</v>
      </c>
      <c r="E3" s="235" t="s">
        <v>159</v>
      </c>
      <c r="F3" s="235" t="s">
        <v>801</v>
      </c>
      <c r="G3" s="106" t="s">
        <v>430</v>
      </c>
      <c r="H3" s="212" t="s">
        <v>124</v>
      </c>
    </row>
    <row r="4" spans="1:8" s="82" customFormat="1" ht="22.9" customHeight="1">
      <c r="A4" s="632"/>
      <c r="B4" s="631"/>
      <c r="C4" s="88" t="s">
        <v>108</v>
      </c>
      <c r="D4" s="88" t="s">
        <v>564</v>
      </c>
      <c r="E4" s="88" t="s">
        <v>169</v>
      </c>
      <c r="F4" s="88" t="s">
        <v>813</v>
      </c>
      <c r="G4" s="108" t="s">
        <v>170</v>
      </c>
      <c r="H4" s="88" t="s">
        <v>638</v>
      </c>
    </row>
    <row r="5" spans="1:8" s="82" customFormat="1" ht="36.6" customHeight="1">
      <c r="A5" s="632"/>
      <c r="B5" s="631"/>
      <c r="C5" s="246" t="s">
        <v>57</v>
      </c>
      <c r="D5" s="246" t="s">
        <v>60</v>
      </c>
      <c r="E5" s="246" t="s">
        <v>62</v>
      </c>
      <c r="F5" s="246" t="s">
        <v>70</v>
      </c>
      <c r="G5" s="112" t="s">
        <v>75</v>
      </c>
      <c r="H5" s="239" t="s">
        <v>811</v>
      </c>
    </row>
    <row r="6" spans="1:8" s="82" customFormat="1" ht="34.15" customHeight="1">
      <c r="A6" s="622" t="s">
        <v>320</v>
      </c>
      <c r="B6" s="623"/>
      <c r="C6" s="239" t="s">
        <v>812</v>
      </c>
      <c r="D6" s="239" t="s">
        <v>754</v>
      </c>
      <c r="E6" s="239" t="s">
        <v>745</v>
      </c>
      <c r="F6" s="239" t="s">
        <v>663</v>
      </c>
      <c r="G6" s="239" t="s">
        <v>814</v>
      </c>
      <c r="H6" s="239" t="s">
        <v>495</v>
      </c>
    </row>
    <row r="7" spans="1:8" ht="38.450000000000003" customHeight="1">
      <c r="A7" s="626" t="s">
        <v>305</v>
      </c>
      <c r="B7" s="198" t="s">
        <v>947</v>
      </c>
      <c r="C7" s="358">
        <f>'ｼｰﾄNO.3（表-3）59頁'!F32</f>
        <v>11</v>
      </c>
      <c r="D7" s="150">
        <f>'ｼｰﾄNO.3（表-3）59頁'!F30</f>
        <v>9</v>
      </c>
      <c r="E7" s="366">
        <v>10</v>
      </c>
      <c r="F7" s="372">
        <v>1</v>
      </c>
      <c r="G7" s="372">
        <f>2000*2</f>
        <v>4000</v>
      </c>
      <c r="H7" s="153">
        <f>C7*E7*F7*G7</f>
        <v>440000</v>
      </c>
    </row>
    <row r="8" spans="1:8" ht="44.45" customHeight="1">
      <c r="A8" s="627"/>
      <c r="B8" s="198" t="s">
        <v>948</v>
      </c>
      <c r="C8" s="358">
        <f>'ｼｰﾄNO.3（表-3）59頁'!F33</f>
        <v>18</v>
      </c>
      <c r="D8" s="150">
        <f>'ｼｰﾄNO.3（表-3）59頁'!F30</f>
        <v>9</v>
      </c>
      <c r="E8" s="366">
        <v>20</v>
      </c>
      <c r="F8" s="372">
        <v>1</v>
      </c>
      <c r="G8" s="372">
        <f t="shared" ref="G8:G9" si="0">2000*2</f>
        <v>4000</v>
      </c>
      <c r="H8" s="153">
        <f t="shared" ref="H8:H9" si="1">C8*E8*F8*G8</f>
        <v>1440000</v>
      </c>
    </row>
    <row r="9" spans="1:8" ht="38.450000000000003" customHeight="1">
      <c r="A9" s="627"/>
      <c r="B9" s="198" t="s">
        <v>949</v>
      </c>
      <c r="C9" s="358">
        <f>'ｼｰﾄNO.3（表-3）59頁'!F34</f>
        <v>38</v>
      </c>
      <c r="D9" s="150">
        <f>'ｼｰﾄNO.3（表-3）59頁'!F30</f>
        <v>9</v>
      </c>
      <c r="E9" s="366">
        <v>10</v>
      </c>
      <c r="F9" s="372">
        <v>1</v>
      </c>
      <c r="G9" s="372">
        <f t="shared" si="0"/>
        <v>4000</v>
      </c>
      <c r="H9" s="150">
        <f t="shared" si="1"/>
        <v>1520000</v>
      </c>
    </row>
    <row r="10" spans="1:8" ht="24.95" customHeight="1">
      <c r="A10" s="628"/>
      <c r="B10" s="198" t="s">
        <v>125</v>
      </c>
      <c r="C10" s="358">
        <f>SUM(C7:C9)</f>
        <v>67</v>
      </c>
      <c r="D10" s="83"/>
      <c r="E10" s="86"/>
      <c r="F10" s="119"/>
      <c r="G10" s="119"/>
      <c r="H10" s="411">
        <f>SUM(H7:H9)</f>
        <v>3400000</v>
      </c>
    </row>
    <row r="11" spans="1:8" ht="44.45" customHeight="1">
      <c r="A11" s="626" t="s">
        <v>306</v>
      </c>
      <c r="B11" s="198" t="s">
        <v>988</v>
      </c>
      <c r="C11" s="358">
        <f>'ｼｰﾄNO.3（表-3）59頁'!F35</f>
        <v>16</v>
      </c>
      <c r="D11" s="150">
        <f>'ｼｰﾄNO.3（表-3）59頁'!F30</f>
        <v>9</v>
      </c>
      <c r="E11" s="366">
        <v>10</v>
      </c>
      <c r="F11" s="372">
        <v>1</v>
      </c>
      <c r="G11" s="372">
        <f t="shared" ref="G11:G15" si="2">2000*2</f>
        <v>4000</v>
      </c>
      <c r="H11" s="153">
        <f t="shared" ref="H11:H15" si="3">C11*E11*F11*G11</f>
        <v>640000</v>
      </c>
    </row>
    <row r="12" spans="1:8" ht="58.9" customHeight="1">
      <c r="A12" s="627"/>
      <c r="B12" s="198" t="s">
        <v>950</v>
      </c>
      <c r="C12" s="358">
        <f>'ｼｰﾄNO.3（表-3）59頁'!F36</f>
        <v>12</v>
      </c>
      <c r="D12" s="150">
        <f>'ｼｰﾄNO.3（表-3）59頁'!F30</f>
        <v>9</v>
      </c>
      <c r="E12" s="366">
        <v>20</v>
      </c>
      <c r="F12" s="372">
        <v>1</v>
      </c>
      <c r="G12" s="372">
        <f t="shared" si="2"/>
        <v>4000</v>
      </c>
      <c r="H12" s="153">
        <f t="shared" si="3"/>
        <v>960000</v>
      </c>
    </row>
    <row r="13" spans="1:8" ht="44.45" customHeight="1">
      <c r="A13" s="627"/>
      <c r="B13" s="198" t="s">
        <v>951</v>
      </c>
      <c r="C13" s="358">
        <f>'ｼｰﾄNO.3（表-3）59頁'!F37</f>
        <v>16</v>
      </c>
      <c r="D13" s="150">
        <f>'ｼｰﾄNO.3（表-3）59頁'!F30</f>
        <v>9</v>
      </c>
      <c r="E13" s="366">
        <v>10</v>
      </c>
      <c r="F13" s="372">
        <v>1</v>
      </c>
      <c r="G13" s="372">
        <f t="shared" si="2"/>
        <v>4000</v>
      </c>
      <c r="H13" s="153">
        <f t="shared" si="3"/>
        <v>640000</v>
      </c>
    </row>
    <row r="14" spans="1:8" ht="44.45" customHeight="1">
      <c r="A14" s="627"/>
      <c r="B14" s="198" t="s">
        <v>952</v>
      </c>
      <c r="C14" s="358">
        <f>'ｼｰﾄNO.3（表-3）59頁'!F38</f>
        <v>18</v>
      </c>
      <c r="D14" s="150">
        <f>'ｼｰﾄNO.3（表-3）59頁'!F30</f>
        <v>9</v>
      </c>
      <c r="E14" s="366">
        <v>10</v>
      </c>
      <c r="F14" s="372">
        <v>1</v>
      </c>
      <c r="G14" s="372">
        <f t="shared" si="2"/>
        <v>4000</v>
      </c>
      <c r="H14" s="153">
        <f t="shared" si="3"/>
        <v>720000</v>
      </c>
    </row>
    <row r="15" spans="1:8" ht="44.45" customHeight="1">
      <c r="A15" s="627"/>
      <c r="B15" s="198" t="s">
        <v>953</v>
      </c>
      <c r="C15" s="358">
        <f>'ｼｰﾄNO.3（表-3）59頁'!F39</f>
        <v>12</v>
      </c>
      <c r="D15" s="150">
        <f>'ｼｰﾄNO.3（表-3）59頁'!F30</f>
        <v>9</v>
      </c>
      <c r="E15" s="366">
        <v>10</v>
      </c>
      <c r="F15" s="372">
        <v>1</v>
      </c>
      <c r="G15" s="372">
        <f t="shared" si="2"/>
        <v>4000</v>
      </c>
      <c r="H15" s="150">
        <f t="shared" si="3"/>
        <v>480000</v>
      </c>
    </row>
    <row r="16" spans="1:8" ht="24.95" customHeight="1">
      <c r="A16" s="628"/>
      <c r="B16" s="198" t="s">
        <v>125</v>
      </c>
      <c r="C16" s="358">
        <f>SUM(C11:C15)</f>
        <v>74</v>
      </c>
      <c r="D16" s="83"/>
      <c r="E16" s="86"/>
      <c r="F16" s="86"/>
      <c r="G16" s="86"/>
      <c r="H16" s="412">
        <f>SUM(H11:H15)</f>
        <v>3440000</v>
      </c>
    </row>
    <row r="17" spans="1:7" ht="9" customHeight="1">
      <c r="A17" s="81"/>
      <c r="B17" s="81"/>
      <c r="C17" s="81"/>
      <c r="D17" s="81"/>
      <c r="E17" s="81"/>
      <c r="F17" s="81"/>
      <c r="G17" s="81"/>
    </row>
    <row r="18" spans="1:7" ht="16.149999999999999" customHeight="1">
      <c r="A18" s="81" t="s">
        <v>815</v>
      </c>
      <c r="B18" s="81"/>
      <c r="C18" s="81"/>
      <c r="D18" s="81"/>
      <c r="E18" s="81"/>
      <c r="F18" s="81"/>
      <c r="G18" s="81"/>
    </row>
    <row r="19" spans="1:7" ht="16.149999999999999" customHeight="1">
      <c r="A19" s="81" t="s">
        <v>778</v>
      </c>
      <c r="B19" s="81"/>
      <c r="C19" s="81"/>
      <c r="D19" s="81"/>
      <c r="E19" s="81"/>
      <c r="F19" s="81"/>
      <c r="G19" s="81"/>
    </row>
    <row r="20" spans="1:7" ht="9" customHeight="1">
      <c r="A20" s="81"/>
      <c r="B20" s="81"/>
      <c r="C20" s="81"/>
      <c r="D20" s="81"/>
      <c r="E20" s="81"/>
      <c r="F20" s="81"/>
      <c r="G20" s="81"/>
    </row>
    <row r="21" spans="1:7" ht="16.149999999999999" customHeight="1">
      <c r="A21" s="81" t="s">
        <v>816</v>
      </c>
      <c r="B21" s="81"/>
      <c r="C21" s="81"/>
      <c r="D21" s="81"/>
      <c r="E21" s="81"/>
      <c r="F21" s="81"/>
      <c r="G21" s="81"/>
    </row>
    <row r="22" spans="1:7" ht="9" customHeight="1">
      <c r="A22" s="81"/>
      <c r="B22" s="81"/>
      <c r="C22" s="81"/>
      <c r="D22" s="81"/>
      <c r="E22" s="81"/>
      <c r="F22" s="81"/>
      <c r="G22" s="81"/>
    </row>
    <row r="23" spans="1:7" ht="16.149999999999999" customHeight="1">
      <c r="A23" s="81" t="s">
        <v>817</v>
      </c>
      <c r="B23" s="81"/>
      <c r="C23" s="81"/>
      <c r="D23" s="81"/>
      <c r="E23" s="81"/>
      <c r="F23" s="81"/>
      <c r="G23" s="81"/>
    </row>
    <row r="24" spans="1:7">
      <c r="A24" s="81"/>
      <c r="B24" s="81"/>
      <c r="C24" s="81"/>
      <c r="D24" s="81"/>
      <c r="E24" s="81"/>
      <c r="F24" s="81"/>
      <c r="G24" s="81"/>
    </row>
    <row r="25" spans="1:7">
      <c r="A25" s="81"/>
      <c r="B25" s="81"/>
      <c r="C25" s="81"/>
      <c r="D25" s="81"/>
      <c r="E25" s="81"/>
      <c r="F25" s="81"/>
      <c r="G25" s="81"/>
    </row>
  </sheetData>
  <mergeCells count="5">
    <mergeCell ref="A7:A10"/>
    <mergeCell ref="A11:A16"/>
    <mergeCell ref="A6:B6"/>
    <mergeCell ref="A3:A5"/>
    <mergeCell ref="B3:B5"/>
  </mergeCells>
  <phoneticPr fontId="3"/>
  <printOptions horizontalCentered="1"/>
  <pageMargins left="0.31496062992125984" right="3.937007874015748E-2" top="0.74803149606299213" bottom="0.74803149606299213" header="0.31496062992125984" footer="0.31496062992125984"/>
  <pageSetup paperSize="9" scale="95" fitToWidth="0" fitToHeight="0" orientation="portrait" r:id="rId1"/>
  <ignoredErrors>
    <ignoredError sqref="H10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Normal="100" workbookViewId="0">
      <selection activeCell="Q1" sqref="Q1"/>
    </sheetView>
  </sheetViews>
  <sheetFormatPr defaultColWidth="9" defaultRowHeight="13.5"/>
  <cols>
    <col min="1" max="1" width="13" style="165" customWidth="1"/>
    <col min="2" max="2" width="12" style="166" customWidth="1"/>
    <col min="3" max="3" width="18.625" style="166" bestFit="1" customWidth="1"/>
    <col min="4" max="4" width="11.375" style="166" customWidth="1"/>
    <col min="5" max="5" width="12.25" style="167" customWidth="1"/>
    <col min="6" max="6" width="7.875" style="168" customWidth="1"/>
    <col min="7" max="7" width="9.125" style="168" customWidth="1"/>
    <col min="8" max="8" width="7" style="168" customWidth="1"/>
    <col min="9" max="9" width="9.625" style="168" customWidth="1"/>
    <col min="10" max="10" width="10.625" style="168" customWidth="1"/>
    <col min="11" max="11" width="9.625" style="166" customWidth="1"/>
    <col min="12" max="12" width="12.25" style="167" customWidth="1"/>
    <col min="13" max="13" width="9.125" style="168" customWidth="1"/>
    <col min="14" max="14" width="7" style="168" customWidth="1"/>
    <col min="15" max="15" width="9.625" style="168" customWidth="1"/>
    <col min="16" max="16" width="11.5" style="168" customWidth="1"/>
    <col min="17" max="16384" width="9" style="166"/>
  </cols>
  <sheetData>
    <row r="1" spans="1:17" ht="15.6" customHeight="1">
      <c r="A1" s="165" t="s">
        <v>884</v>
      </c>
      <c r="P1" s="439"/>
    </row>
    <row r="2" spans="1:17" ht="15.6" customHeight="1"/>
    <row r="3" spans="1:17" ht="21.75" customHeight="1" thickBot="1">
      <c r="E3" s="685" t="s">
        <v>820</v>
      </c>
      <c r="F3" s="686"/>
      <c r="G3" s="687"/>
      <c r="H3" s="687"/>
      <c r="I3" s="686"/>
      <c r="J3" s="688"/>
      <c r="K3" s="689" t="s">
        <v>821</v>
      </c>
      <c r="L3" s="690"/>
      <c r="M3" s="690"/>
      <c r="N3" s="690"/>
      <c r="O3" s="690"/>
      <c r="P3" s="691"/>
    </row>
    <row r="4" spans="1:17" s="440" customFormat="1" ht="61.5" customHeight="1">
      <c r="A4" s="692" t="s">
        <v>597</v>
      </c>
      <c r="B4" s="698" t="s">
        <v>177</v>
      </c>
      <c r="C4" s="698" t="s">
        <v>176</v>
      </c>
      <c r="D4" s="698" t="s">
        <v>183</v>
      </c>
      <c r="E4" s="680" t="s">
        <v>822</v>
      </c>
      <c r="F4" s="704" t="s">
        <v>600</v>
      </c>
      <c r="G4" s="702" t="s">
        <v>823</v>
      </c>
      <c r="H4" s="703"/>
      <c r="I4" s="682" t="s">
        <v>175</v>
      </c>
      <c r="J4" s="676" t="s">
        <v>824</v>
      </c>
      <c r="K4" s="678" t="s">
        <v>329</v>
      </c>
      <c r="L4" s="680" t="s">
        <v>825</v>
      </c>
      <c r="M4" s="701" t="s">
        <v>826</v>
      </c>
      <c r="N4" s="701"/>
      <c r="O4" s="682" t="s">
        <v>175</v>
      </c>
      <c r="P4" s="676" t="s">
        <v>827</v>
      </c>
    </row>
    <row r="5" spans="1:17" s="440" customFormat="1" ht="21" customHeight="1">
      <c r="A5" s="693"/>
      <c r="B5" s="699"/>
      <c r="C5" s="699"/>
      <c r="D5" s="699"/>
      <c r="E5" s="681"/>
      <c r="F5" s="705"/>
      <c r="G5" s="188" t="s">
        <v>849</v>
      </c>
      <c r="H5" s="189" t="s">
        <v>847</v>
      </c>
      <c r="I5" s="683"/>
      <c r="J5" s="677"/>
      <c r="K5" s="679"/>
      <c r="L5" s="681"/>
      <c r="M5" s="188" t="s">
        <v>849</v>
      </c>
      <c r="N5" s="189" t="s">
        <v>848</v>
      </c>
      <c r="O5" s="683"/>
      <c r="P5" s="677"/>
    </row>
    <row r="6" spans="1:17" s="440" customFormat="1" ht="33" customHeight="1">
      <c r="A6" s="693"/>
      <c r="B6" s="699"/>
      <c r="C6" s="699"/>
      <c r="D6" s="255" t="s">
        <v>182</v>
      </c>
      <c r="E6" s="170" t="s">
        <v>828</v>
      </c>
      <c r="F6" s="171" t="s">
        <v>181</v>
      </c>
      <c r="G6" s="172" t="s">
        <v>846</v>
      </c>
      <c r="H6" s="173" t="s">
        <v>179</v>
      </c>
      <c r="I6" s="171" t="s">
        <v>174</v>
      </c>
      <c r="J6" s="174" t="s">
        <v>818</v>
      </c>
      <c r="K6" s="254" t="s">
        <v>180</v>
      </c>
      <c r="L6" s="170" t="s">
        <v>836</v>
      </c>
      <c r="M6" s="172" t="s">
        <v>829</v>
      </c>
      <c r="N6" s="173" t="s">
        <v>179</v>
      </c>
      <c r="O6" s="171" t="s">
        <v>174</v>
      </c>
      <c r="P6" s="174" t="s">
        <v>818</v>
      </c>
    </row>
    <row r="7" spans="1:17" s="440" customFormat="1" ht="32.25" customHeight="1">
      <c r="A7" s="694"/>
      <c r="B7" s="700"/>
      <c r="C7" s="700"/>
      <c r="D7" s="255" t="s">
        <v>321</v>
      </c>
      <c r="E7" s="170" t="s">
        <v>322</v>
      </c>
      <c r="F7" s="171" t="s">
        <v>323</v>
      </c>
      <c r="G7" s="175" t="s">
        <v>819</v>
      </c>
      <c r="H7" s="173" t="s">
        <v>75</v>
      </c>
      <c r="I7" s="171" t="s">
        <v>324</v>
      </c>
      <c r="J7" s="176" t="s">
        <v>850</v>
      </c>
      <c r="K7" s="254" t="s">
        <v>325</v>
      </c>
      <c r="L7" s="170" t="s">
        <v>326</v>
      </c>
      <c r="M7" s="175" t="s">
        <v>328</v>
      </c>
      <c r="N7" s="173" t="s">
        <v>86</v>
      </c>
      <c r="O7" s="171" t="s">
        <v>327</v>
      </c>
      <c r="P7" s="176" t="s">
        <v>601</v>
      </c>
      <c r="Q7" s="441"/>
    </row>
    <row r="8" spans="1:17" s="440" customFormat="1" ht="42.75" customHeight="1">
      <c r="A8" s="695" t="s">
        <v>320</v>
      </c>
      <c r="B8" s="696"/>
      <c r="C8" s="697"/>
      <c r="D8" s="253" t="s">
        <v>830</v>
      </c>
      <c r="E8" s="177" t="s">
        <v>595</v>
      </c>
      <c r="F8" s="178" t="s">
        <v>834</v>
      </c>
      <c r="G8" s="192" t="s">
        <v>422</v>
      </c>
      <c r="H8" s="190" t="s">
        <v>458</v>
      </c>
      <c r="I8" s="178" t="s">
        <v>518</v>
      </c>
      <c r="J8" s="183" t="s">
        <v>422</v>
      </c>
      <c r="K8" s="179" t="s">
        <v>831</v>
      </c>
      <c r="L8" s="191" t="s">
        <v>596</v>
      </c>
      <c r="M8" s="192" t="s">
        <v>422</v>
      </c>
      <c r="N8" s="190" t="s">
        <v>458</v>
      </c>
      <c r="O8" s="178" t="s">
        <v>518</v>
      </c>
      <c r="P8" s="183" t="s">
        <v>422</v>
      </c>
    </row>
    <row r="9" spans="1:17" s="440" customFormat="1" ht="61.5" customHeight="1">
      <c r="A9" s="180" t="s">
        <v>598</v>
      </c>
      <c r="B9" s="187" t="s">
        <v>844</v>
      </c>
      <c r="C9" s="181" t="s">
        <v>178</v>
      </c>
      <c r="D9" s="443">
        <v>600</v>
      </c>
      <c r="E9" s="444">
        <f>0.0001*D9^2+0.0145*D9+29.4953</f>
        <v>74.195300000000003</v>
      </c>
      <c r="F9" s="445">
        <v>200</v>
      </c>
      <c r="G9" s="446">
        <f>E9*F9</f>
        <v>14839.060000000001</v>
      </c>
      <c r="H9" s="447">
        <f>G9*12/44</f>
        <v>4047.0163636363645</v>
      </c>
      <c r="I9" s="445">
        <v>10600</v>
      </c>
      <c r="J9" s="442">
        <f>H9/1000*I9</f>
        <v>42898.373454545464</v>
      </c>
      <c r="K9" s="449">
        <v>752</v>
      </c>
      <c r="L9" s="450">
        <v>9.4220000000000006</v>
      </c>
      <c r="M9" s="446">
        <f>K9*L9</f>
        <v>7085.3440000000001</v>
      </c>
      <c r="N9" s="447">
        <f>M9*12/44</f>
        <v>1932.3665454545453</v>
      </c>
      <c r="O9" s="445">
        <v>10600</v>
      </c>
      <c r="P9" s="442">
        <f>N9/1000*O9</f>
        <v>20483.085381818182</v>
      </c>
    </row>
    <row r="10" spans="1:17" ht="62.25" customHeight="1" thickBot="1">
      <c r="A10" s="255" t="s">
        <v>599</v>
      </c>
      <c r="B10" s="253" t="s">
        <v>845</v>
      </c>
      <c r="C10" s="181" t="s">
        <v>178</v>
      </c>
      <c r="D10" s="443">
        <v>599</v>
      </c>
      <c r="E10" s="444">
        <f>0.000008*D10^2+0.12621*D10+39.12643</f>
        <v>117.596628</v>
      </c>
      <c r="F10" s="445">
        <v>200</v>
      </c>
      <c r="G10" s="446">
        <f>E10*F10</f>
        <v>23519.3256</v>
      </c>
      <c r="H10" s="447">
        <f>G10*12/44</f>
        <v>6414.3615272727275</v>
      </c>
      <c r="I10" s="448">
        <v>10600</v>
      </c>
      <c r="J10" s="455">
        <f>H10/1000*I10</f>
        <v>67992.232189090908</v>
      </c>
      <c r="K10" s="451">
        <v>1122</v>
      </c>
      <c r="L10" s="452">
        <v>9.4220000000000006</v>
      </c>
      <c r="M10" s="453">
        <f>K10*L10</f>
        <v>10571.484</v>
      </c>
      <c r="N10" s="454">
        <f>M10*12/44</f>
        <v>2883.1320000000001</v>
      </c>
      <c r="O10" s="448">
        <v>10600</v>
      </c>
      <c r="P10" s="455">
        <f>N10/1000*O10</f>
        <v>30561.199200000003</v>
      </c>
    </row>
    <row r="11" spans="1:17" ht="9" customHeight="1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L11" s="166"/>
      <c r="M11" s="166"/>
      <c r="N11" s="166"/>
      <c r="O11" s="166"/>
      <c r="P11" s="166"/>
    </row>
    <row r="12" spans="1:17" ht="16.149999999999999" customHeight="1">
      <c r="A12" s="252" t="s">
        <v>832</v>
      </c>
      <c r="B12" s="252"/>
      <c r="C12" s="252"/>
      <c r="D12" s="252"/>
      <c r="E12" s="252"/>
      <c r="F12" s="252"/>
      <c r="G12" s="252"/>
      <c r="H12" s="182"/>
      <c r="I12" s="182"/>
      <c r="J12" s="182"/>
    </row>
    <row r="13" spans="1:17" ht="16.149999999999999" customHeight="1">
      <c r="A13" s="166" t="s">
        <v>602</v>
      </c>
      <c r="B13" s="252"/>
      <c r="C13" s="252"/>
      <c r="D13" s="252"/>
      <c r="E13" s="252"/>
      <c r="F13" s="252"/>
      <c r="G13" s="252"/>
      <c r="H13" s="252"/>
      <c r="I13" s="252"/>
    </row>
    <row r="14" spans="1:17" ht="9" customHeight="1"/>
    <row r="15" spans="1:17" ht="16.149999999999999" customHeight="1">
      <c r="A15" s="684" t="s">
        <v>833</v>
      </c>
      <c r="B15" s="684"/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</row>
    <row r="16" spans="1:17" ht="9" customHeight="1"/>
    <row r="17" spans="1:1" ht="16.149999999999999" customHeight="1">
      <c r="A17" s="165" t="s">
        <v>835</v>
      </c>
    </row>
  </sheetData>
  <mergeCells count="18">
    <mergeCell ref="A15:N15"/>
    <mergeCell ref="E3:J3"/>
    <mergeCell ref="K3:P3"/>
    <mergeCell ref="A4:A7"/>
    <mergeCell ref="A8:C8"/>
    <mergeCell ref="B4:B7"/>
    <mergeCell ref="C4:C7"/>
    <mergeCell ref="M4:N4"/>
    <mergeCell ref="G4:H4"/>
    <mergeCell ref="D4:D5"/>
    <mergeCell ref="E4:E5"/>
    <mergeCell ref="F4:F5"/>
    <mergeCell ref="I4:I5"/>
    <mergeCell ref="J4:J5"/>
    <mergeCell ref="K4:K5"/>
    <mergeCell ref="L4:L5"/>
    <mergeCell ref="O4:O5"/>
    <mergeCell ref="P4:P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15</vt:i4>
      </vt:variant>
    </vt:vector>
  </HeadingPairs>
  <TitlesOfParts>
    <vt:vector size="47" baseType="lpstr">
      <vt:lpstr>ｼｰﾄNO.1(表-2）57頁</vt:lpstr>
      <vt:lpstr>ｼｰﾄNO.2（図-7）58頁</vt:lpstr>
      <vt:lpstr>ｼｰﾄNO.3（表-3）59頁</vt:lpstr>
      <vt:lpstr>ｼｰﾄNO.4（表-4）60頁</vt:lpstr>
      <vt:lpstr>ｼｰﾄNO.5（表-5）3.3.2 61頁</vt:lpstr>
      <vt:lpstr>ｼｰﾄNO.6（表6-1）3.3.3-1　63頁</vt:lpstr>
      <vt:lpstr>ｼｰﾄNO.7（表6-2）3.3.3-2　64頁</vt:lpstr>
      <vt:lpstr>ｼｰﾄNO.8（表6-3）3.3.3-3　65頁</vt:lpstr>
      <vt:lpstr>ｼｰﾄNO.9（表6-4）3.3.3-4　66頁</vt:lpstr>
      <vt:lpstr>ｼｰﾄNO.10（表-7）3.3.4　67頁</vt:lpstr>
      <vt:lpstr>ｼｰﾄNO.11（表-8）3.3.5 　68頁</vt:lpstr>
      <vt:lpstr>ｼｰﾄNO.12（表-9）3.4.1　69頁</vt:lpstr>
      <vt:lpstr>ｼｰﾄNO.13（表-10）3.4.2　70頁</vt:lpstr>
      <vt:lpstr>ｼｰﾄNO.14（表11-1）3.5.1-1　71頁</vt:lpstr>
      <vt:lpstr>ｼｰﾄNO.15（表11-2）3.5.1-2　72頁</vt:lpstr>
      <vt:lpstr>ｼｰﾄNO.16（表11-3）3.5.1-3　73頁</vt:lpstr>
      <vt:lpstr>ｼｰﾄNO.17（表12-1）3.5.2-1　74頁</vt:lpstr>
      <vt:lpstr>ｼｰﾄNO.18（表12-2）3.5.2-2　75頁</vt:lpstr>
      <vt:lpstr>ｼｰﾄNO.19（表12-3）3.5.2-3　76頁</vt:lpstr>
      <vt:lpstr>ｼｰﾄNO.20（表13-1）3.5.3-1　77頁</vt:lpstr>
      <vt:lpstr>ｼｰﾄNO.21（表13-2）3.5.3-2　78頁</vt:lpstr>
      <vt:lpstr>ｼｰﾄNO.22（表13-3）3.5.3-3　79頁</vt:lpstr>
      <vt:lpstr>ｼｰﾄNO.23（表13-4）3.5.3-4　80頁</vt:lpstr>
      <vt:lpstr>ｼｰﾄNO.24（表14-1）3.5.4-1　81頁</vt:lpstr>
      <vt:lpstr>ｼｰﾄNO.25（表14-2）3.5.4-2　82頁</vt:lpstr>
      <vt:lpstr>ｼｰﾄNO.26（表14-3）3.5.4-3　83頁</vt:lpstr>
      <vt:lpstr>ｼｰﾄNO.27（表15-1）3.5.5-1　84頁</vt:lpstr>
      <vt:lpstr>ｼｰﾄNO.28（表15-2）3.5.5-2　85頁</vt:lpstr>
      <vt:lpstr>ｼｰﾄNO.29（表15-3）3.5.5-3　86頁</vt:lpstr>
      <vt:lpstr>ｼｰﾄNO.30（表16-1）3.5.6-1　87頁</vt:lpstr>
      <vt:lpstr>ｼｰﾄNO.31（表16-2）3.5.6-2　88頁</vt:lpstr>
      <vt:lpstr>ｼｰﾄNO.32（表-17）3.6.1　89頁</vt:lpstr>
      <vt:lpstr>'ｼｰﾄNO.1(表-2）57頁'!Print_Area</vt:lpstr>
      <vt:lpstr>'ｼｰﾄNO.14（表11-1）3.5.1-1　71頁'!Print_Area</vt:lpstr>
      <vt:lpstr>'ｼｰﾄNO.18（表12-2）3.5.2-2　75頁'!Print_Area</vt:lpstr>
      <vt:lpstr>'ｼｰﾄNO.21（表13-2）3.5.3-2　78頁'!Print_Area</vt:lpstr>
      <vt:lpstr>'ｼｰﾄNO.23（表13-4）3.5.3-4　80頁'!Print_Area</vt:lpstr>
      <vt:lpstr>'ｼｰﾄNO.24（表14-1）3.5.4-1　81頁'!Print_Area</vt:lpstr>
      <vt:lpstr>'ｼｰﾄNO.25（表14-2）3.5.4-2　82頁'!Print_Area</vt:lpstr>
      <vt:lpstr>'ｼｰﾄNO.26（表14-3）3.5.4-3　83頁'!Print_Area</vt:lpstr>
      <vt:lpstr>'ｼｰﾄNO.31（表16-2）3.5.6-2　88頁'!Print_Area</vt:lpstr>
      <vt:lpstr>'ｼｰﾄNO.4（表-4）60頁'!Print_Area</vt:lpstr>
      <vt:lpstr>'ｼｰﾄNO.5（表-5）3.3.2 61頁'!Print_Area</vt:lpstr>
      <vt:lpstr>'ｼｰﾄNO.6（表6-1）3.3.3-1　63頁'!Print_Area</vt:lpstr>
      <vt:lpstr>'ｼｰﾄNO.7（表6-2）3.3.3-2　64頁'!Print_Area</vt:lpstr>
      <vt:lpstr>'ｼｰﾄNO.8（表6-3）3.3.3-3　65頁'!Print_Area</vt:lpstr>
      <vt:lpstr>'ｼｰﾄNO.9（表6-4）3.3.3-4　66頁'!Print_Area</vt:lpstr>
    </vt:vector>
  </TitlesOfParts>
  <Company>N-I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宮武 昌志</dc:creator>
  <cp:lastModifiedBy>JSTT</cp:lastModifiedBy>
  <cp:lastPrinted>2016-11-22T07:34:45Z</cp:lastPrinted>
  <dcterms:created xsi:type="dcterms:W3CDTF">2014-09-10T00:27:55Z</dcterms:created>
  <dcterms:modified xsi:type="dcterms:W3CDTF">2017-01-20T05:58:23Z</dcterms:modified>
</cp:coreProperties>
</file>